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952" activeTab="0"/>
  </bookViews>
  <sheets>
    <sheet name="2022" sheetId="1" r:id="rId1"/>
    <sheet name="Лист4" sheetId="2" r:id="rId2"/>
  </sheets>
  <definedNames>
    <definedName name="_xlnm._FilterDatabase" localSheetId="0" hidden="1">'2022'!$A$12:$H$765</definedName>
    <definedName name="_xlnm.Print_Titles" localSheetId="0">'2022'!$12:$12</definedName>
    <definedName name="_xlnm.Print_Area" localSheetId="0">'2022'!$A$1:$H$779</definedName>
  </definedNames>
  <calcPr fullCalcOnLoad="1"/>
</workbook>
</file>

<file path=xl/comments1.xml><?xml version="1.0" encoding="utf-8"?>
<comments xmlns="http://schemas.openxmlformats.org/spreadsheetml/2006/main">
  <authors>
    <author>KOMPPLUS-05-18</author>
  </authors>
  <commentList>
    <comment ref="D389" authorId="0">
      <text>
        <r>
          <rPr>
            <b/>
            <sz val="9"/>
            <rFont val="Tahoma"/>
            <family val="2"/>
          </rPr>
          <t>KOMPPLUS-05-18:</t>
        </r>
        <r>
          <rPr>
            <sz val="9"/>
            <rFont val="Tahoma"/>
            <family val="2"/>
          </rPr>
          <t xml:space="preserve">
114м2  карета
</t>
        </r>
      </text>
    </comment>
    <comment ref="D14" authorId="0">
      <text>
        <r>
          <rPr>
            <b/>
            <sz val="9"/>
            <rFont val="Tahoma"/>
            <family val="2"/>
          </rPr>
          <t>KOMPPLUS-05-18:</t>
        </r>
        <r>
          <rPr>
            <sz val="9"/>
            <rFont val="Tahoma"/>
            <family val="2"/>
          </rPr>
          <t xml:space="preserve">
115м2-АТБ+242м2 квітник біля магазину"Цукерня"</t>
        </r>
      </text>
    </comment>
  </commentList>
</comments>
</file>

<file path=xl/sharedStrings.xml><?xml version="1.0" encoding="utf-8"?>
<sst xmlns="http://schemas.openxmlformats.org/spreadsheetml/2006/main" count="2378" uniqueCount="476">
  <si>
    <t>1.</t>
  </si>
  <si>
    <t>м</t>
  </si>
  <si>
    <t>м2</t>
  </si>
  <si>
    <t>2.</t>
  </si>
  <si>
    <t>I I I</t>
  </si>
  <si>
    <t xml:space="preserve">I </t>
  </si>
  <si>
    <t>щоденно</t>
  </si>
  <si>
    <t>1раз на тиждень</t>
  </si>
  <si>
    <t>3.</t>
  </si>
  <si>
    <t>4.</t>
  </si>
  <si>
    <t>5.</t>
  </si>
  <si>
    <t>шт.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</si>
  <si>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</si>
  <si>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</si>
  <si>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</si>
  <si>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</si>
  <si>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</si>
  <si>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</si>
  <si>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</si>
  <si>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</si>
  <si>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</si>
  <si>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</si>
  <si>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</si>
  <si>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</si>
  <si>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</si>
  <si>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</si>
  <si>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Вулиця № 13 МПЗ</t>
  </si>
  <si>
    <t>21.</t>
  </si>
  <si>
    <t>22.</t>
  </si>
  <si>
    <t>23.</t>
  </si>
  <si>
    <t>24.</t>
  </si>
  <si>
    <t>25.</t>
  </si>
  <si>
    <t>26.</t>
  </si>
  <si>
    <t>28.</t>
  </si>
  <si>
    <t>29.</t>
  </si>
  <si>
    <t>Теріторія біля " Кургану"</t>
  </si>
  <si>
    <t>30.</t>
  </si>
  <si>
    <t>Примітка:</t>
  </si>
  <si>
    <t>шт/м2</t>
  </si>
  <si>
    <t>Бульвар " Цвіточний"</t>
  </si>
  <si>
    <t>Бульвар "Шкільний"</t>
  </si>
  <si>
    <t>Бульвар "Шевченка"</t>
  </si>
  <si>
    <t>Бульвар "Курчатова"</t>
  </si>
  <si>
    <t>3 рази на тиждень</t>
  </si>
  <si>
    <t>2 рази на тиждень</t>
  </si>
  <si>
    <t>31.</t>
  </si>
  <si>
    <t>32.</t>
  </si>
  <si>
    <t>33.</t>
  </si>
  <si>
    <t>1 раз на тиждень</t>
  </si>
  <si>
    <t>2рази на тиждень</t>
  </si>
  <si>
    <t>2 рази на рік</t>
  </si>
  <si>
    <t>1 раз на місяц</t>
  </si>
  <si>
    <t>Шумозахисна  смуга  МПЗ</t>
  </si>
  <si>
    <t>1 раз на місяць</t>
  </si>
  <si>
    <t>у зимовий період</t>
  </si>
  <si>
    <t>за необхідністю</t>
  </si>
  <si>
    <t>І І</t>
  </si>
  <si>
    <t>І І І</t>
  </si>
  <si>
    <t>прибирання доріжок від пухкого  снігу</t>
  </si>
  <si>
    <t>пішохідні  доріжки (підмітання)</t>
  </si>
  <si>
    <t>"кармани" (підмітання)</t>
  </si>
  <si>
    <t>газони, розарії, доріжки (збір сміття)</t>
  </si>
  <si>
    <t>вуличні газони, доріжки (збір сміття)</t>
  </si>
  <si>
    <t>вуличні газони (збір сміття)</t>
  </si>
  <si>
    <t>вуличні  газони ( збір сміття)</t>
  </si>
  <si>
    <t>пішохідні  доріжки ( підмітання)</t>
  </si>
  <si>
    <t>прибирання доріг від ПГС</t>
  </si>
  <si>
    <t>"кармани"(підмітання)</t>
  </si>
  <si>
    <t>вуличні газони, розарії, доріжки (збір сміття)</t>
  </si>
  <si>
    <t>зупинки ( підмітання)</t>
  </si>
  <si>
    <t>вуличні газони,  доріжки (збір сміття)</t>
  </si>
  <si>
    <t>вуличні  газони,  доріжки ( збір сміття)</t>
  </si>
  <si>
    <t>"п’ятачок" ( підмітання)</t>
  </si>
  <si>
    <t>вуличні  газони, розарії, доріжки, "п’ятачок" ( збір сміття)</t>
  </si>
  <si>
    <t>"кармани" ( підмітання)</t>
  </si>
  <si>
    <t>Один.вим.</t>
  </si>
  <si>
    <t>Найменування</t>
  </si>
  <si>
    <t>Набережна Енергетиків</t>
  </si>
  <si>
    <t>Маяковського</t>
  </si>
  <si>
    <t>В’їзд № 2</t>
  </si>
  <si>
    <t>Пристанц.площа вокзалу</t>
  </si>
  <si>
    <t>Леніна</t>
  </si>
  <si>
    <t>Дружби народів</t>
  </si>
  <si>
    <t>Комсомольська</t>
  </si>
  <si>
    <t>Спортивна</t>
  </si>
  <si>
    <t>Паркова</t>
  </si>
  <si>
    <t>Комуністичний</t>
  </si>
  <si>
    <t>Енергобудівників</t>
  </si>
  <si>
    <t>Миру</t>
  </si>
  <si>
    <t>Молодіжна</t>
  </si>
  <si>
    <t>Вул 13 МПЗ</t>
  </si>
  <si>
    <t>Територія Чайка</t>
  </si>
  <si>
    <t>дорога  - площа</t>
  </si>
  <si>
    <t>" карман" - площа</t>
  </si>
  <si>
    <t xml:space="preserve">пішохідні доріжки </t>
  </si>
  <si>
    <t xml:space="preserve">вуличні  газони  </t>
  </si>
  <si>
    <t>асфальтобетонне замощення</t>
  </si>
  <si>
    <t>пішохідні доріжки - додаткові</t>
  </si>
  <si>
    <t>вуличні  газони  - додаткові</t>
  </si>
  <si>
    <t>розарії</t>
  </si>
  <si>
    <t>квітники</t>
  </si>
  <si>
    <t>в’їзди  - площа</t>
  </si>
  <si>
    <t>сходи  - площа</t>
  </si>
  <si>
    <t>лави</t>
  </si>
  <si>
    <t>зупинки - площа</t>
  </si>
  <si>
    <t>спортивний майданчик</t>
  </si>
  <si>
    <t>п’ятачок</t>
  </si>
  <si>
    <t>Сквер № 1</t>
  </si>
  <si>
    <t>Сквер № 2</t>
  </si>
  <si>
    <t>Парк -фонтан</t>
  </si>
  <si>
    <t>Кладовище</t>
  </si>
  <si>
    <t>Пляж</t>
  </si>
  <si>
    <t>Паркова зона</t>
  </si>
  <si>
    <t>Цвіточний</t>
  </si>
  <si>
    <t>Шкільний</t>
  </si>
  <si>
    <t>Шевченка</t>
  </si>
  <si>
    <t>Курчатова</t>
  </si>
  <si>
    <t>Меморіал</t>
  </si>
  <si>
    <t>фонтан</t>
  </si>
  <si>
    <t>пісок</t>
  </si>
  <si>
    <t>майданчик з трот.плитки</t>
  </si>
  <si>
    <t>газони, квітники, доріжки, дорога (збір сміття)</t>
  </si>
  <si>
    <t>газони, розарії, квітники, доріжки, дорога (збір сміття)</t>
  </si>
  <si>
    <t>2 раз на тиждень</t>
  </si>
  <si>
    <t>шт./м2</t>
  </si>
  <si>
    <t>2/9,6</t>
  </si>
  <si>
    <t>3/14,4</t>
  </si>
  <si>
    <t>площа  під  і  біля  лав (підмітання)</t>
  </si>
  <si>
    <t>18/86,4</t>
  </si>
  <si>
    <t>7/33,6</t>
  </si>
  <si>
    <t>610х2</t>
  </si>
  <si>
    <t>697,5х2</t>
  </si>
  <si>
    <t>в т. ч.:  дорога (підмітання)</t>
  </si>
  <si>
    <t>дорога, зупинка, пішохідні  доріжки (підмітання)</t>
  </si>
  <si>
    <t>пішохідні  доріжки,  сходи (підмітання)</t>
  </si>
  <si>
    <t xml:space="preserve">          - сходи (підмітання)</t>
  </si>
  <si>
    <t>площа проїжджої частини, пішохідні доріжки (підмітання)</t>
  </si>
  <si>
    <t>в т.ч.: площа проїжджої частини (підмітання)</t>
  </si>
  <si>
    <t>площа проїжджої частини, пішохідні доріжки, сходи (підмітання)</t>
  </si>
  <si>
    <t xml:space="preserve"> - пішохідні  доріжки (підмітання)</t>
  </si>
  <si>
    <t xml:space="preserve"> - сходи (підмітання)</t>
  </si>
  <si>
    <t xml:space="preserve">  - пішохідні  доріжки (підмітання)</t>
  </si>
  <si>
    <t xml:space="preserve">   - сходи (підмітання)</t>
  </si>
  <si>
    <t>сходи уборка от снега</t>
  </si>
  <si>
    <t>скол льда 20%</t>
  </si>
  <si>
    <t>урни щоденно</t>
  </si>
  <si>
    <t>сходи  78,5 м2</t>
  </si>
  <si>
    <t>Газон  між Паркова, 6 та Паркова,2</t>
  </si>
  <si>
    <t>39.</t>
  </si>
  <si>
    <t>по необхідності</t>
  </si>
  <si>
    <t>41.</t>
  </si>
  <si>
    <t>42.</t>
  </si>
  <si>
    <t>1 раз в квартал</t>
  </si>
  <si>
    <t>газон ( збір сміття)</t>
  </si>
  <si>
    <t>Клас тери-торії</t>
  </si>
  <si>
    <t xml:space="preserve">Пристанційна  площа залізничної станції </t>
  </si>
  <si>
    <t>вуличні  газони, розарії, доріжки, квітники,спорт.майданчик (збір сміття)</t>
  </si>
  <si>
    <t>шт./м3</t>
  </si>
  <si>
    <t>4/5,85</t>
  </si>
  <si>
    <t xml:space="preserve">очищення водовідвідного лотку </t>
  </si>
  <si>
    <t>2/0,256</t>
  </si>
  <si>
    <t>36/15,2</t>
  </si>
  <si>
    <t>10/1,92</t>
  </si>
  <si>
    <t>9/9,71</t>
  </si>
  <si>
    <t>17/11,9</t>
  </si>
  <si>
    <t>7/6,6</t>
  </si>
  <si>
    <t>34/22,09</t>
  </si>
  <si>
    <t>10/4,03</t>
  </si>
  <si>
    <t>7/1,2</t>
  </si>
  <si>
    <t>15/4,91</t>
  </si>
  <si>
    <t>13/3,7</t>
  </si>
  <si>
    <t>Вулиця Південна (№ 11) МПЗ</t>
  </si>
  <si>
    <t xml:space="preserve">Вулиця  Гардова (№ 17) МПЗ </t>
  </si>
  <si>
    <t xml:space="preserve">Вулиця  Садова (№ 18) МПЗ </t>
  </si>
  <si>
    <t xml:space="preserve">Вулиця  Козацька (№ 19) МПЗ </t>
  </si>
  <si>
    <t xml:space="preserve">Вулиця  Центральна (№ 20) МПЗ </t>
  </si>
  <si>
    <t xml:space="preserve">Вулиця  Володимірська (№ 21) МПЗ </t>
  </si>
  <si>
    <t xml:space="preserve">Вулиця  Костянтинівська (№ 22) МПЗ </t>
  </si>
  <si>
    <t xml:space="preserve">Вулиця  Костянтинівська (№ 24) МПЗ </t>
  </si>
  <si>
    <t xml:space="preserve">Вулиця  Степова (№ 25) МПЗ </t>
  </si>
  <si>
    <t>1раз в місяць</t>
  </si>
  <si>
    <t>згрібання скошеної трави</t>
  </si>
  <si>
    <t>га</t>
  </si>
  <si>
    <t xml:space="preserve">3 рази на тиждень </t>
  </si>
  <si>
    <t>Будівництво  скверу  на честь  Т. Г. Шевченка у  5-ому  мікрорайоні м. Южноукраїнська</t>
  </si>
  <si>
    <t>площа  спуску, оглядових майданчиків (підмітання)</t>
  </si>
  <si>
    <t>1/4,8</t>
  </si>
  <si>
    <t>34.</t>
  </si>
  <si>
    <t>35.</t>
  </si>
  <si>
    <t>Територія 4-го кварталу</t>
  </si>
  <si>
    <t>2 рази на сезон</t>
  </si>
  <si>
    <t>Шумозахисна  смуга вздовж траси №12</t>
  </si>
  <si>
    <t>36.</t>
  </si>
  <si>
    <t>Траса №12</t>
  </si>
  <si>
    <t>1 раз на  місяць</t>
  </si>
  <si>
    <t>27.</t>
  </si>
  <si>
    <t>37.</t>
  </si>
  <si>
    <t>17.</t>
  </si>
  <si>
    <t>5 разів на сезон</t>
  </si>
  <si>
    <t>4 рази на сезон</t>
  </si>
  <si>
    <t>1 раз на два тижні</t>
  </si>
  <si>
    <t>3  рази на тиждень</t>
  </si>
  <si>
    <t xml:space="preserve">3 рази на сезон </t>
  </si>
  <si>
    <t>Площа території, згідно паспортів та рішення виконкому</t>
  </si>
  <si>
    <t>прибирання доріжок від пухкого снігу</t>
  </si>
  <si>
    <t>посипання доріжок ПГС</t>
  </si>
  <si>
    <t>дорога</t>
  </si>
  <si>
    <t>очищення доріг від ПГС</t>
  </si>
  <si>
    <t>дорога+в’їзди (підмітання)</t>
  </si>
  <si>
    <t>" карман" (підмітання)</t>
  </si>
  <si>
    <t>" карман" та дорога (збір сміття)</t>
  </si>
  <si>
    <t>пішохідні доріжки (підмітання)</t>
  </si>
  <si>
    <t>викіс  газонів</t>
  </si>
  <si>
    <t>очищення дороги від ПГС</t>
  </si>
  <si>
    <t>дорога+в’їзди (збір сміття)</t>
  </si>
  <si>
    <t>пішохідні доріжки(підмітання)</t>
  </si>
  <si>
    <t>дорога (підмітання)</t>
  </si>
  <si>
    <t>дорога (збір сміття)</t>
  </si>
  <si>
    <t>розгалуження (підмітання)</t>
  </si>
  <si>
    <t>прибирання території від пухкого снігу</t>
  </si>
  <si>
    <t>посипання території ПГС</t>
  </si>
  <si>
    <t>посипання зупинок ПГС</t>
  </si>
  <si>
    <t>прибирання зупинок від пухкого снігу</t>
  </si>
  <si>
    <t>урни (очищення від сміття)</t>
  </si>
  <si>
    <t>площа під і біля лав (підмітання)</t>
  </si>
  <si>
    <t>дорога + в’їзди (підмітання)</t>
  </si>
  <si>
    <t>зупинки (підмітання)</t>
  </si>
  <si>
    <t>" кармани"( підмітання)</t>
  </si>
  <si>
    <t>сходи (підмітання)</t>
  </si>
  <si>
    <t>викіс газонів</t>
  </si>
  <si>
    <t>"кармани"( підмітання)</t>
  </si>
  <si>
    <t xml:space="preserve">дорога (збір сміття) </t>
  </si>
  <si>
    <t>урни</t>
  </si>
  <si>
    <t>газони, квітники, доріжки (збір сміття)</t>
  </si>
  <si>
    <t>майданчик з тротуарної плитки (підмітання)</t>
  </si>
  <si>
    <t>газони, квітники, доріжки, майданчик (збір сміття)</t>
  </si>
  <si>
    <t>пішохідні  доріжки</t>
  </si>
  <si>
    <t>туалет (прибирання)</t>
  </si>
  <si>
    <t>доріжка  та  сходи (підмітання)</t>
  </si>
  <si>
    <t>газони ( у т. ч. пісок) збір сміття</t>
  </si>
  <si>
    <t>пішохідні  доріжки ( щебінь)</t>
  </si>
  <si>
    <t>Один. вимір</t>
  </si>
  <si>
    <t>посадка</t>
  </si>
  <si>
    <t>№ п/п</t>
  </si>
  <si>
    <t>Періодичність прибирання</t>
  </si>
  <si>
    <t>%</t>
  </si>
  <si>
    <t>об'єм</t>
  </si>
  <si>
    <t>І</t>
  </si>
  <si>
    <t>вуличні  газони,  доріжки, розарії, квітники (збір сміття)</t>
  </si>
  <si>
    <t>вуличні  газони, доріжки  (збір сміття)</t>
  </si>
  <si>
    <t>вуличні  газони, пішохідні доріжки (збір сміття)</t>
  </si>
  <si>
    <t>500х2</t>
  </si>
  <si>
    <t xml:space="preserve">I I </t>
  </si>
  <si>
    <t>пристанційна  площа (збір сміття)</t>
  </si>
  <si>
    <t>вуличні  газони, розарії, доріжки, квітники (збір сміття)</t>
  </si>
  <si>
    <t>1446,3х2</t>
  </si>
  <si>
    <t>вуличні  газони, доріжки ( збір сміття)</t>
  </si>
  <si>
    <t>Дорога Богданівка - Костянтинівка</t>
  </si>
  <si>
    <t>в т. ч.: пішохідні  доріжки (підмітання)</t>
  </si>
  <si>
    <t>пішохідні  доріжки, брущатка (підмітання)</t>
  </si>
  <si>
    <t>в т.ч. : пішохідні  доріжки (підмітання)</t>
  </si>
  <si>
    <t xml:space="preserve">          - брущатка (підмітання)</t>
  </si>
  <si>
    <t>в т.ч. :  площа  спуску ( підмітання)</t>
  </si>
  <si>
    <t>900м2 дер.</t>
  </si>
  <si>
    <t>викіс газонів, в тому числі:</t>
  </si>
  <si>
    <t xml:space="preserve"> - газони </t>
  </si>
  <si>
    <t xml:space="preserve"> - посадка </t>
  </si>
  <si>
    <t>1474,5м2  - город, 858 м2 - в селе  84 дерева отнято</t>
  </si>
  <si>
    <t>прибирання доріжок від пухкого снігу мотоблоками</t>
  </si>
  <si>
    <t>38.</t>
  </si>
  <si>
    <t>Теріторія гори "Пугач"</t>
  </si>
  <si>
    <t>газони( збір сміття)</t>
  </si>
  <si>
    <t>I I І</t>
  </si>
  <si>
    <t>I І І</t>
  </si>
  <si>
    <t>прибирання сходів від пухкого снігу</t>
  </si>
  <si>
    <t>прибирання сходи від пухкого снігу</t>
  </si>
  <si>
    <t xml:space="preserve">  - сходи (підмітання)</t>
  </si>
  <si>
    <t>прибирання сходів  від пухкого снігу</t>
  </si>
  <si>
    <t>пристанційна  площа (підмітання)</t>
  </si>
  <si>
    <t>дорога ( підмітання)</t>
  </si>
  <si>
    <t>2. Періодичність прибирання та викосу трави може коригуватися.</t>
  </si>
  <si>
    <t>19/91,2</t>
  </si>
  <si>
    <t>5/24,0</t>
  </si>
  <si>
    <t>прибирання дорожніх переходів від снігу</t>
  </si>
  <si>
    <t>52/28,5</t>
  </si>
  <si>
    <t>42/22,4</t>
  </si>
  <si>
    <t>5/6,32</t>
  </si>
  <si>
    <t>1 раз на тиждень в зимовий період, 2 рази на тиждень в літній період</t>
  </si>
  <si>
    <t xml:space="preserve">   - зупинка (підмітання)</t>
  </si>
  <si>
    <t xml:space="preserve">   - пішохідні  доріжки (бетон) (підмітан)</t>
  </si>
  <si>
    <t>щоденно в період роботи пляжу</t>
  </si>
  <si>
    <t>1 раз в місяць в зимовий період, щоденно в період роботи пляжу</t>
  </si>
  <si>
    <t>I І</t>
  </si>
  <si>
    <t xml:space="preserve">Вулиця   Молодіжна </t>
  </si>
  <si>
    <t>посипання сходів ПГС</t>
  </si>
  <si>
    <t>прибирання доріжки та сходів від пухкого снігу</t>
  </si>
  <si>
    <t>прибирання спуску від пухкого  снігу</t>
  </si>
  <si>
    <t>посипання спуску ПГС</t>
  </si>
  <si>
    <t>змітання снігу з лавок</t>
  </si>
  <si>
    <t>шт</t>
  </si>
  <si>
    <t>1 раз на квартал</t>
  </si>
  <si>
    <t>газони (збір сміття)</t>
  </si>
  <si>
    <t>Вулиця Гідробудівників (№ 16) МПЗ</t>
  </si>
  <si>
    <t>40.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</si>
  <si>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</si>
  <si>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</si>
  <si>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</si>
  <si>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</si>
  <si>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</si>
  <si>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</si>
  <si>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</si>
  <si>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</si>
  <si>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</si>
  <si>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(2745*0,6)</t>
  </si>
  <si>
    <t>(724+1267,3)*0,6</t>
  </si>
  <si>
    <t>(722*0,6)</t>
  </si>
  <si>
    <t>(1910*0,6)</t>
  </si>
  <si>
    <t>(461*0,6)</t>
  </si>
  <si>
    <t>(1220*0,6)</t>
  </si>
  <si>
    <t>(1395*0,6)</t>
  </si>
  <si>
    <t>(761,8*0,6)</t>
  </si>
  <si>
    <t xml:space="preserve">дорога  (збір сміття) </t>
  </si>
  <si>
    <t>(1000*0,6)</t>
  </si>
  <si>
    <t>(420*0,6)</t>
  </si>
  <si>
    <t>(590*0,6)</t>
  </si>
  <si>
    <t>(636,7*0,6)</t>
  </si>
  <si>
    <t>(369,2*0,6)</t>
  </si>
  <si>
    <t>(368*0,6)</t>
  </si>
  <si>
    <t>(790*0,6)</t>
  </si>
  <si>
    <t>(658,33*0,6)</t>
  </si>
  <si>
    <t>(574,5*0,6)</t>
  </si>
  <si>
    <t>(726,67*0,6)</t>
  </si>
  <si>
    <t>(795*0,6)</t>
  </si>
  <si>
    <t>(266*0,6)</t>
  </si>
  <si>
    <t>(372*0,6)</t>
  </si>
  <si>
    <t>(81*0,6)</t>
  </si>
  <si>
    <t xml:space="preserve"> 1 раз на тиждень </t>
  </si>
  <si>
    <t>1 раз в місяць</t>
  </si>
  <si>
    <t>Газон  між КЗЮМЛ та Паркова, 6</t>
  </si>
  <si>
    <t>63/302,4</t>
  </si>
  <si>
    <t>СКВЕР  №2</t>
  </si>
  <si>
    <t>СКВЕР  № 1</t>
  </si>
  <si>
    <t>газони, дорога, доріжки, зупинка, посадка (збір сміття)</t>
  </si>
  <si>
    <t>газони, доріжки, брущатка, спуск, оглядові майданчики (збір  сміття)</t>
  </si>
  <si>
    <t>очищення пішохідних доріжок та спуску від ПГС</t>
  </si>
  <si>
    <t>(1098*0,6)</t>
  </si>
  <si>
    <t>спортивний майданчик (збір смяття)</t>
  </si>
  <si>
    <t>вуличні газони, доріжки, спорт.майданчик (збір сміття)</t>
  </si>
  <si>
    <t>16/76,8</t>
  </si>
  <si>
    <t>79/379,2</t>
  </si>
  <si>
    <t>1 раз на 2 тижні</t>
  </si>
  <si>
    <t>11/52,8</t>
  </si>
  <si>
    <t>27/129,6</t>
  </si>
  <si>
    <t>газони (посадка) збір сміття</t>
  </si>
  <si>
    <t>зупинка (підмітання)</t>
  </si>
  <si>
    <t>прибирання зупинки від пухкого снігу</t>
  </si>
  <si>
    <t>посипання сходів зупинки ПГС</t>
  </si>
  <si>
    <t>карман (підмітання)</t>
  </si>
  <si>
    <t>76/364,8</t>
  </si>
  <si>
    <t>щоденно влітку, 2 рази на тиждень взимку, 3 рази на тиждень весна, осінь</t>
  </si>
  <si>
    <t>весною</t>
  </si>
  <si>
    <t>осінню</t>
  </si>
  <si>
    <t>2 рази на місяць</t>
  </si>
  <si>
    <t>очищення газонів від  листви</t>
  </si>
  <si>
    <t>спортивний майданчик (збір смітя)</t>
  </si>
  <si>
    <t>очищення газонів від листви</t>
  </si>
  <si>
    <t xml:space="preserve"> - площа оглядових майданчиків               (підмітання)</t>
  </si>
  <si>
    <t>асфальтобетонне замощення (збір сміття)</t>
  </si>
  <si>
    <t>(750+240+240)*0,6</t>
  </si>
  <si>
    <t>Додаток</t>
  </si>
  <si>
    <t>до рішення виконачого комітету</t>
  </si>
  <si>
    <t>Южноукраїнської міської ради</t>
  </si>
  <si>
    <t>від "____"____ 2022 № _______</t>
  </si>
  <si>
    <t>обслуговування   об’єктів  благоустрію загального користування  Южноукраїнської міської територіальної громади</t>
  </si>
  <si>
    <t xml:space="preserve">Перелік та періодичність                                        </t>
  </si>
  <si>
    <t>комунальним підприємством "Служба   комунального  господарства"  у  2022 році</t>
  </si>
  <si>
    <t>газони (у т.ч.пісок), квітники, розарій, доріжки, площа  біля фонтану (збір сміття)</t>
  </si>
  <si>
    <t>Об’єм обслуговуючої території</t>
  </si>
  <si>
    <t>Найменування об’єктів</t>
  </si>
  <si>
    <t>мп</t>
  </si>
  <si>
    <t>восени</t>
  </si>
  <si>
    <t>восені</t>
  </si>
  <si>
    <t xml:space="preserve">очищення зливоприймача та зливоперехвата </t>
  </si>
  <si>
    <t>1раз на 2 тиждні</t>
  </si>
  <si>
    <t>у зимовий період, за необхідністю</t>
  </si>
  <si>
    <t>вуличні  газони, доріжки, бетоне  покриття        ( збір сміття)</t>
  </si>
  <si>
    <t>газон біля зупинки( збір сміття)</t>
  </si>
  <si>
    <t xml:space="preserve">1 раз на тиждень </t>
  </si>
  <si>
    <t>Вулиця  № 14 МПЗ ( від вулиці Південна до вулиці Гардова)</t>
  </si>
  <si>
    <t>Вулиця  № 15 МПЗ ( від вулиці Південна до вулиці Гардова)</t>
  </si>
  <si>
    <t xml:space="preserve">"кармани"( підмітання) </t>
  </si>
  <si>
    <t>Територія  біля  АВБ, вулиця Дружба народів,23</t>
  </si>
  <si>
    <t>Пішохідна  доріжка  від вулиці №13 МПЗ  до в"їзду  № 2</t>
  </si>
  <si>
    <t>2 раз на місяць</t>
  </si>
  <si>
    <t xml:space="preserve">Меморіальний комплеку Захисникам Вітчизни </t>
  </si>
  <si>
    <t>2 рази на тиждень взимку, 3 рази на тиждень влітку, навесні, восени</t>
  </si>
  <si>
    <t>3 рази на тиждень влітку, взимку по мірі необхідності</t>
  </si>
  <si>
    <t>1 раз на тиждень влітку та навесні, восени, взимку по мірі необхідності</t>
  </si>
  <si>
    <t>щоденно влітку, 2 рази на тиждень взимку, 3 рази на тиждень восени, навесні</t>
  </si>
  <si>
    <t>у зимовий період по мірі необхідності</t>
  </si>
  <si>
    <t xml:space="preserve"> 2 рази на тиждень влітку, 2 рази на місяць весна, осінь, по мірі необхідності взимку</t>
  </si>
  <si>
    <t>очищення газонів від сміття та листви</t>
  </si>
  <si>
    <t>1 раз восени</t>
  </si>
  <si>
    <t>бетонна площа (підмітання)</t>
  </si>
  <si>
    <t>6/57,6</t>
  </si>
  <si>
    <t>1 раз навесні</t>
  </si>
  <si>
    <t>2 рази на місяць (влітку)</t>
  </si>
  <si>
    <r>
      <t>Кладовище</t>
    </r>
    <r>
      <rPr>
        <sz val="12"/>
        <rFont val="Times New Roman"/>
        <family val="1"/>
      </rPr>
      <t xml:space="preserve"> (біля селищної ради)</t>
    </r>
  </si>
  <si>
    <r>
      <t>Кладовище</t>
    </r>
    <r>
      <rPr>
        <sz val="12"/>
        <rFont val="Times New Roman"/>
        <family val="1"/>
      </rPr>
      <t xml:space="preserve"> (біля шахти)</t>
    </r>
  </si>
  <si>
    <t xml:space="preserve">Теріторія в районі вулиці 300-річчя Костянтинівки </t>
  </si>
  <si>
    <t>та вулиці Молодіжної (Берліни-Брандербурги)</t>
  </si>
  <si>
    <t>Проїзд вздовж житлового будинку по вулиці Набережна енергетиків, 5</t>
  </si>
  <si>
    <t>Газон між СЗОШ № 3  та магазином "Щедрий кошик" по вулиці Дружби народів</t>
  </si>
  <si>
    <t>Вулиця Синявського</t>
  </si>
  <si>
    <t>Вулиця Чехмистренко</t>
  </si>
  <si>
    <t>бетонна дорога (збір сміття)</t>
  </si>
  <si>
    <t>с.Бузьке</t>
  </si>
  <si>
    <t>с.Іванівка</t>
  </si>
  <si>
    <t>1 раз на місяць (влітку)</t>
  </si>
  <si>
    <t>В’їзд в с.Іванівка</t>
  </si>
  <si>
    <t>с.Панкратове</t>
  </si>
  <si>
    <t>Вул.Вишнева</t>
  </si>
  <si>
    <t>газони, площа (збір сміття)</t>
  </si>
  <si>
    <t>площа біля пам’ятника (підмітання)</t>
  </si>
  <si>
    <t>В’їзд в с.Панкратово</t>
  </si>
  <si>
    <t>5-99-73</t>
  </si>
  <si>
    <t>3. Площа обслуговування територій та періодичність та періодичність прибирання в актах виконаних робіт включається по фактично виконаним роботам з урахуванням погодних умов.</t>
  </si>
  <si>
    <t xml:space="preserve">1. Класність   доріг, які обслуговуються  встановлена відповідно до наказу Міністерства з питань житлово-комунального. </t>
  </si>
  <si>
    <r>
      <t>Кладовище</t>
    </r>
    <r>
      <rPr>
        <sz val="12"/>
        <rFont val="Times New Roman"/>
        <family val="1"/>
      </rPr>
      <t xml:space="preserve"> (в’їзди № 1, 2)</t>
    </r>
  </si>
  <si>
    <r>
      <t>Вул.Вишнева</t>
    </r>
    <r>
      <rPr>
        <sz val="12"/>
        <rFont val="Times New Roman"/>
        <family val="1"/>
      </rPr>
      <t xml:space="preserve"> (територія біля пам’ятнику)</t>
    </r>
  </si>
  <si>
    <r>
      <t>Кладовище</t>
    </r>
    <r>
      <rPr>
        <sz val="12"/>
        <rFont val="Times New Roman"/>
        <family val="1"/>
      </rPr>
      <t xml:space="preserve"> </t>
    </r>
  </si>
  <si>
    <t>МП</t>
  </si>
  <si>
    <t>Вулиця Бондаренко</t>
  </si>
  <si>
    <t>Вулиця Шкільна</t>
  </si>
  <si>
    <t>Вулиця Садова</t>
  </si>
  <si>
    <t xml:space="preserve">БОЖКО Володимир </t>
  </si>
  <si>
    <t>у зимовий період за необхідністю</t>
  </si>
  <si>
    <t>Провулок Степовий</t>
  </si>
  <si>
    <r>
      <t>Вулиця Вишнева</t>
    </r>
    <r>
      <rPr>
        <sz val="12"/>
        <rFont val="Times New Roman"/>
        <family val="1"/>
      </rPr>
      <t xml:space="preserve"> (дитячий майданчик)</t>
    </r>
  </si>
  <si>
    <t>Вулиця Молодіжна</t>
  </si>
  <si>
    <t>Вулиця Степова</t>
  </si>
  <si>
    <t>Вулиця Шевченко</t>
  </si>
  <si>
    <t>Вулиця Зелений гай</t>
  </si>
  <si>
    <t>Вулиця Верхня</t>
  </si>
  <si>
    <t>Провулок Пушкінський</t>
  </si>
  <si>
    <t>Провулок Безіменний</t>
  </si>
  <si>
    <t>Провулок №1 (без назви)</t>
  </si>
  <si>
    <t>Провулок №2 (без назви)</t>
  </si>
  <si>
    <t>Вулиця Ломоносова</t>
  </si>
  <si>
    <t>Проспект  Незалежності</t>
  </si>
  <si>
    <t xml:space="preserve">Вулиця Набережна  Енергетиків </t>
  </si>
  <si>
    <t>Вулиця Маяковського</t>
  </si>
  <si>
    <t>Вулиця Олімпійська</t>
  </si>
  <si>
    <t>Вулиця Дружби  Народів</t>
  </si>
  <si>
    <t>Вулиця  Спортивна</t>
  </si>
  <si>
    <t>Вулиця Паркова</t>
  </si>
  <si>
    <t>Проспект Соборності</t>
  </si>
  <si>
    <t>Вулиця Енергобудівників</t>
  </si>
  <si>
    <t>Вулиця  Миру</t>
  </si>
  <si>
    <t>В"їзд  № 2 (вул.300-річчя Костянтинівки)</t>
  </si>
  <si>
    <t>ПАРКОВА  ЗОНА  ККС "Олімп"</t>
  </si>
  <si>
    <t>Міський  пляж</t>
  </si>
  <si>
    <t xml:space="preserve">Вулиця  Дружби  </t>
  </si>
  <si>
    <t>Вулиця  Кузнечна</t>
  </si>
  <si>
    <t>Вулиця  Набережна</t>
  </si>
  <si>
    <t>Вулиця  Маяковського</t>
  </si>
  <si>
    <t>Площа Соборна</t>
  </si>
  <si>
    <t>смт.Костянтинівка</t>
  </si>
  <si>
    <t>Вулиця Набережна</t>
  </si>
  <si>
    <t>Вулиця Гірська</t>
  </si>
  <si>
    <t>Вулиця Робоча</t>
  </si>
  <si>
    <t>Вулиця Радужна</t>
  </si>
  <si>
    <t>Провулок №3 (без назви)</t>
  </si>
  <si>
    <t>Провулок №4 (без назви)</t>
  </si>
  <si>
    <t>Провулок №5 (без назви)</t>
  </si>
  <si>
    <t>Перший заступник міського голови з питань виконавчих органів ради                                                                                       Олексій МАЙБОРОДА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</si>
</sst>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422]d\ mmmm\ yyyy&quot; р.&quot;"/>
    <numFmt numFmtId="198" formatCode="0.0%"/>
  </numFmts>
  <fonts count="4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justify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top"/>
    </xf>
    <xf numFmtId="19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42" applyNumberFormat="1" applyFont="1" applyAlignment="1">
      <alignment horizontal="left"/>
    </xf>
    <xf numFmtId="0" fontId="10" fillId="0" borderId="12" xfId="0" applyFont="1" applyBorder="1" applyAlignment="1" quotePrefix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0" fontId="10" fillId="0" borderId="1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190" fontId="10" fillId="0" borderId="10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9" fontId="10" fillId="0" borderId="12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right"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24" xfId="0" applyFont="1" applyBorder="1" applyAlignment="1">
      <alignment/>
    </xf>
    <xf numFmtId="1" fontId="10" fillId="0" borderId="24" xfId="0" applyNumberFormat="1" applyFont="1" applyBorder="1" applyAlignment="1">
      <alignment/>
    </xf>
    <xf numFmtId="0" fontId="10" fillId="0" borderId="25" xfId="0" applyFont="1" applyBorder="1" applyAlignment="1">
      <alignment horizontal="left" vertical="center" wrapText="1"/>
    </xf>
    <xf numFmtId="9" fontId="10" fillId="0" borderId="1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6" xfId="0" applyFont="1" applyBorder="1" applyAlignment="1">
      <alignment/>
    </xf>
    <xf numFmtId="1" fontId="10" fillId="0" borderId="26" xfId="0" applyNumberFormat="1" applyFont="1" applyBorder="1" applyAlignment="1">
      <alignment/>
    </xf>
    <xf numFmtId="9" fontId="10" fillId="0" borderId="26" xfId="0" applyNumberFormat="1" applyFont="1" applyBorder="1" applyAlignment="1">
      <alignment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/>
    </xf>
    <xf numFmtId="1" fontId="10" fillId="0" borderId="28" xfId="0" applyNumberFormat="1" applyFont="1" applyBorder="1" applyAlignment="1">
      <alignment/>
    </xf>
    <xf numFmtId="9" fontId="10" fillId="0" borderId="28" xfId="0" applyNumberFormat="1" applyFont="1" applyBorder="1" applyAlignment="1">
      <alignment/>
    </xf>
    <xf numFmtId="0" fontId="10" fillId="0" borderId="29" xfId="0" applyFont="1" applyBorder="1" applyAlignment="1">
      <alignment horizontal="left" vertical="center" wrapText="1"/>
    </xf>
    <xf numFmtId="1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190" fontId="10" fillId="0" borderId="11" xfId="0" applyNumberFormat="1" applyFont="1" applyBorder="1" applyAlignment="1">
      <alignment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 horizontal="left" vertical="center" wrapText="1"/>
    </xf>
    <xf numFmtId="9" fontId="10" fillId="0" borderId="24" xfId="0" applyNumberFormat="1" applyFont="1" applyBorder="1" applyAlignment="1">
      <alignment horizontal="center"/>
    </xf>
    <xf numFmtId="0" fontId="10" fillId="0" borderId="3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28" xfId="0" applyFont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9" fontId="10" fillId="0" borderId="11" xfId="0" applyNumberFormat="1" applyFont="1" applyBorder="1" applyAlignment="1">
      <alignment/>
    </xf>
    <xf numFmtId="0" fontId="10" fillId="0" borderId="36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Border="1" applyAlignment="1">
      <alignment horizontal="right"/>
    </xf>
    <xf numFmtId="0" fontId="10" fillId="0" borderId="19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 quotePrefix="1">
      <alignment horizontal="center"/>
    </xf>
    <xf numFmtId="0" fontId="10" fillId="0" borderId="11" xfId="0" applyFont="1" applyBorder="1" applyAlignment="1" quotePrefix="1">
      <alignment horizontal="center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 quotePrefix="1">
      <alignment horizontal="left" vertical="center" wrapText="1"/>
    </xf>
    <xf numFmtId="9" fontId="10" fillId="0" borderId="11" xfId="0" applyNumberFormat="1" applyFont="1" applyFill="1" applyBorder="1" applyAlignment="1">
      <alignment/>
    </xf>
    <xf numFmtId="0" fontId="10" fillId="0" borderId="19" xfId="0" applyFont="1" applyBorder="1" applyAlignment="1">
      <alignment horizontal="left" wrapText="1"/>
    </xf>
    <xf numFmtId="0" fontId="10" fillId="0" borderId="0" xfId="0" applyFont="1" applyAlignment="1">
      <alignment/>
    </xf>
    <xf numFmtId="9" fontId="10" fillId="0" borderId="10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quotePrefix="1">
      <alignment horizontal="center"/>
    </xf>
    <xf numFmtId="0" fontId="10" fillId="0" borderId="18" xfId="0" applyFont="1" applyFill="1" applyBorder="1" applyAlignment="1">
      <alignment horizontal="left" vertical="center" wrapText="1"/>
    </xf>
    <xf numFmtId="9" fontId="10" fillId="0" borderId="11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/>
    </xf>
    <xf numFmtId="0" fontId="10" fillId="0" borderId="26" xfId="0" applyFont="1" applyFill="1" applyBorder="1" applyAlignment="1" quotePrefix="1">
      <alignment horizont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/>
    </xf>
    <xf numFmtId="9" fontId="10" fillId="0" borderId="33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11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9" fontId="10" fillId="0" borderId="26" xfId="0" applyNumberFormat="1" applyFont="1" applyBorder="1" applyAlignment="1">
      <alignment horizontal="center"/>
    </xf>
    <xf numFmtId="0" fontId="10" fillId="0" borderId="38" xfId="0" applyFont="1" applyBorder="1" applyAlignment="1">
      <alignment horizontal="left" vertical="center" wrapText="1"/>
    </xf>
    <xf numFmtId="9" fontId="10" fillId="0" borderId="0" xfId="0" applyNumberFormat="1" applyFont="1" applyAlignment="1">
      <alignment horizontal="center"/>
    </xf>
    <xf numFmtId="0" fontId="10" fillId="0" borderId="11" xfId="0" applyFont="1" applyFill="1" applyBorder="1" applyAlignment="1" quotePrefix="1">
      <alignment horizontal="center"/>
    </xf>
    <xf numFmtId="1" fontId="10" fillId="0" borderId="11" xfId="0" applyNumberFormat="1" applyFont="1" applyBorder="1" applyAlignment="1">
      <alignment vertical="center"/>
    </xf>
    <xf numFmtId="1" fontId="10" fillId="0" borderId="10" xfId="0" applyNumberFormat="1" applyFont="1" applyBorder="1" applyAlignment="1">
      <alignment vertical="center"/>
    </xf>
    <xf numFmtId="190" fontId="10" fillId="0" borderId="11" xfId="0" applyNumberFormat="1" applyFont="1" applyBorder="1" applyAlignment="1">
      <alignment vertical="center"/>
    </xf>
    <xf numFmtId="190" fontId="10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/>
    </xf>
    <xf numFmtId="0" fontId="10" fillId="0" borderId="10" xfId="0" applyFont="1" applyFill="1" applyBorder="1" applyAlignment="1" quotePrefix="1">
      <alignment horizontal="center" vertical="center"/>
    </xf>
    <xf numFmtId="17" fontId="10" fillId="0" borderId="28" xfId="0" applyNumberFormat="1" applyFont="1" applyBorder="1" applyAlignment="1">
      <alignment horizontal="right"/>
    </xf>
    <xf numFmtId="0" fontId="10" fillId="0" borderId="28" xfId="0" applyFont="1" applyFill="1" applyBorder="1" applyAlignment="1" quotePrefix="1">
      <alignment horizontal="center"/>
    </xf>
    <xf numFmtId="0" fontId="10" fillId="0" borderId="28" xfId="0" applyFont="1" applyFill="1" applyBorder="1" applyAlignment="1">
      <alignment/>
    </xf>
    <xf numFmtId="0" fontId="10" fillId="0" borderId="36" xfId="0" applyFont="1" applyFill="1" applyBorder="1" applyAlignment="1">
      <alignment horizontal="left" vertical="center" wrapText="1"/>
    </xf>
    <xf numFmtId="9" fontId="10" fillId="0" borderId="11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left" wrapText="1"/>
    </xf>
    <xf numFmtId="1" fontId="10" fillId="0" borderId="11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vertical="center"/>
    </xf>
    <xf numFmtId="190" fontId="10" fillId="0" borderId="10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/>
    </xf>
    <xf numFmtId="0" fontId="10" fillId="0" borderId="38" xfId="0" applyFont="1" applyFill="1" applyBorder="1" applyAlignment="1">
      <alignment horizontal="left" vertical="center" wrapText="1"/>
    </xf>
    <xf numFmtId="0" fontId="10" fillId="0" borderId="0" xfId="0" applyFont="1" applyAlignment="1" quotePrefix="1">
      <alignment horizontal="left"/>
    </xf>
    <xf numFmtId="0" fontId="10" fillId="0" borderId="3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34" xfId="0" applyFont="1" applyBorder="1" applyAlignment="1">
      <alignment/>
    </xf>
    <xf numFmtId="1" fontId="10" fillId="0" borderId="10" xfId="0" applyNumberFormat="1" applyFont="1" applyBorder="1" applyAlignment="1">
      <alignment horizontal="right" vertical="center"/>
    </xf>
    <xf numFmtId="1" fontId="10" fillId="0" borderId="11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/>
    </xf>
    <xf numFmtId="0" fontId="0" fillId="0" borderId="30" xfId="0" applyFont="1" applyBorder="1" applyAlignment="1">
      <alignment horizontal="left" vertical="center" wrapText="1"/>
    </xf>
    <xf numFmtId="190" fontId="10" fillId="0" borderId="10" xfId="0" applyNumberFormat="1" applyFont="1" applyBorder="1" applyAlignment="1">
      <alignment horizontal="right"/>
    </xf>
    <xf numFmtId="190" fontId="10" fillId="0" borderId="26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top"/>
    </xf>
    <xf numFmtId="190" fontId="10" fillId="0" borderId="10" xfId="0" applyNumberFormat="1" applyFont="1" applyBorder="1" applyAlignment="1">
      <alignment vertical="top"/>
    </xf>
    <xf numFmtId="0" fontId="10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39" xfId="0" applyFont="1" applyBorder="1" applyAlignment="1">
      <alignment horizontal="left" vertical="center" wrapText="1"/>
    </xf>
    <xf numFmtId="0" fontId="10" fillId="0" borderId="26" xfId="0" applyFont="1" applyBorder="1" applyAlignment="1">
      <alignment vertical="center"/>
    </xf>
    <xf numFmtId="190" fontId="10" fillId="0" borderId="2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 quotePrefix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2" xfId="0" applyFont="1" applyBorder="1" applyAlignment="1" quotePrefix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10" fillId="0" borderId="10" xfId="0" applyFont="1" applyBorder="1" applyAlignment="1" quotePrefix="1">
      <alignment horizontal="left" vertical="center" wrapText="1"/>
    </xf>
    <xf numFmtId="0" fontId="10" fillId="0" borderId="22" xfId="0" applyFont="1" applyFill="1" applyBorder="1" applyAlignment="1" quotePrefix="1">
      <alignment horizontal="left" vertical="center" wrapText="1"/>
    </xf>
    <xf numFmtId="0" fontId="10" fillId="0" borderId="10" xfId="0" applyFont="1" applyFill="1" applyBorder="1" applyAlignment="1" quotePrefix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31" xfId="0" applyFont="1" applyBorder="1" applyAlignment="1" quotePrefix="1">
      <alignment horizontal="left" vertical="center" wrapText="1"/>
    </xf>
    <xf numFmtId="0" fontId="10" fillId="0" borderId="20" xfId="0" applyFont="1" applyBorder="1" applyAlignment="1" quotePrefix="1">
      <alignment horizontal="left" vertical="center"/>
    </xf>
    <xf numFmtId="0" fontId="10" fillId="0" borderId="22" xfId="0" applyFont="1" applyBorder="1" applyAlignment="1" quotePrefix="1">
      <alignment horizontal="left" vertical="center" wrapText="1"/>
    </xf>
    <xf numFmtId="0" fontId="10" fillId="0" borderId="20" xfId="0" applyFont="1" applyFill="1" applyBorder="1" applyAlignment="1" quotePrefix="1">
      <alignment horizontal="left" vertical="center"/>
    </xf>
    <xf numFmtId="0" fontId="10" fillId="0" borderId="20" xfId="0" applyFont="1" applyFill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10" fillId="0" borderId="10" xfId="0" applyFont="1" applyFill="1" applyBorder="1" applyAlignment="1" quotePrefix="1">
      <alignment horizontal="left" vertical="center" wrapText="1"/>
    </xf>
    <xf numFmtId="0" fontId="10" fillId="0" borderId="26" xfId="0" applyFont="1" applyFill="1" applyBorder="1" applyAlignment="1" quotePrefix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left" vertical="center"/>
    </xf>
    <xf numFmtId="9" fontId="10" fillId="0" borderId="31" xfId="55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9" fontId="10" fillId="0" borderId="20" xfId="55" applyFont="1" applyFill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9" fontId="10" fillId="0" borderId="10" xfId="55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 vertical="center"/>
    </xf>
    <xf numFmtId="0" fontId="10" fillId="32" borderId="20" xfId="0" applyFont="1" applyFill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1" xfId="0" applyFont="1" applyBorder="1" applyAlignment="1" quotePrefix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right" vertical="center"/>
    </xf>
    <xf numFmtId="190" fontId="10" fillId="0" borderId="26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0" fillId="0" borderId="13" xfId="0" applyNumberFormat="1" applyFont="1" applyBorder="1" applyAlignment="1">
      <alignment horizontal="right" vertical="center"/>
    </xf>
    <xf numFmtId="1" fontId="10" fillId="0" borderId="12" xfId="0" applyNumberFormat="1" applyFont="1" applyBorder="1" applyAlignment="1">
      <alignment horizontal="right" vertical="center"/>
    </xf>
    <xf numFmtId="1" fontId="10" fillId="0" borderId="24" xfId="0" applyNumberFormat="1" applyFont="1" applyBorder="1" applyAlignment="1">
      <alignment horizontal="right" vertical="center"/>
    </xf>
    <xf numFmtId="1" fontId="10" fillId="0" borderId="22" xfId="0" applyNumberFormat="1" applyFont="1" applyBorder="1" applyAlignment="1">
      <alignment horizontal="right" vertical="center"/>
    </xf>
    <xf numFmtId="1" fontId="10" fillId="0" borderId="26" xfId="0" applyNumberFormat="1" applyFont="1" applyBorder="1" applyAlignment="1">
      <alignment horizontal="right" vertical="center"/>
    </xf>
    <xf numFmtId="1" fontId="10" fillId="0" borderId="28" xfId="0" applyNumberFormat="1" applyFont="1" applyBorder="1" applyAlignment="1">
      <alignment horizontal="right" vertical="center"/>
    </xf>
    <xf numFmtId="1" fontId="10" fillId="0" borderId="33" xfId="0" applyNumberFormat="1" applyFont="1" applyBorder="1" applyAlignment="1">
      <alignment horizontal="right" vertical="center"/>
    </xf>
    <xf numFmtId="1" fontId="10" fillId="0" borderId="33" xfId="0" applyNumberFormat="1" applyFont="1" applyFill="1" applyBorder="1" applyAlignment="1">
      <alignment horizontal="right" vertical="center"/>
    </xf>
    <xf numFmtId="1" fontId="10" fillId="0" borderId="26" xfId="0" applyNumberFormat="1" applyFont="1" applyFill="1" applyBorder="1" applyAlignment="1">
      <alignment horizontal="right" vertical="center"/>
    </xf>
    <xf numFmtId="1" fontId="10" fillId="0" borderId="28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190" fontId="10" fillId="0" borderId="10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190" fontId="10" fillId="0" borderId="11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190" fontId="10" fillId="0" borderId="1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10" fillId="0" borderId="13" xfId="0" applyNumberFormat="1" applyFont="1" applyBorder="1" applyAlignment="1">
      <alignment horizontal="center" vertical="center"/>
    </xf>
    <xf numFmtId="0" fontId="10" fillId="0" borderId="20" xfId="0" applyFont="1" applyBorder="1" applyAlignment="1" quotePrefix="1">
      <alignment horizontal="left" vertical="center" wrapText="1"/>
    </xf>
    <xf numFmtId="0" fontId="10" fillId="0" borderId="31" xfId="0" applyFont="1" applyBorder="1" applyAlignment="1" quotePrefix="1">
      <alignment horizontal="left" vertical="center"/>
    </xf>
    <xf numFmtId="0" fontId="10" fillId="0" borderId="11" xfId="0" applyFont="1" applyBorder="1" applyAlignment="1" quotePrefix="1">
      <alignment horizontal="left" vertical="center" wrapText="1"/>
    </xf>
    <xf numFmtId="1" fontId="10" fillId="0" borderId="31" xfId="0" applyNumberFormat="1" applyFont="1" applyBorder="1" applyAlignment="1">
      <alignment horizontal="right" vertical="center"/>
    </xf>
    <xf numFmtId="0" fontId="10" fillId="0" borderId="31" xfId="0" applyFont="1" applyFill="1" applyBorder="1" applyAlignment="1" quotePrefix="1">
      <alignment horizontal="left" vertical="center" wrapText="1"/>
    </xf>
    <xf numFmtId="0" fontId="10" fillId="0" borderId="11" xfId="0" applyFont="1" applyFill="1" applyBorder="1" applyAlignment="1" quotePrefix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10" fillId="0" borderId="14" xfId="0" applyFont="1" applyBorder="1" applyAlignment="1">
      <alignment/>
    </xf>
    <xf numFmtId="0" fontId="9" fillId="0" borderId="41" xfId="0" applyFont="1" applyFill="1" applyBorder="1" applyAlignment="1">
      <alignment horizontal="left" vertical="center"/>
    </xf>
    <xf numFmtId="1" fontId="10" fillId="0" borderId="66" xfId="0" applyNumberFormat="1" applyFont="1" applyBorder="1" applyAlignment="1">
      <alignment horizontal="right" vertical="center"/>
    </xf>
    <xf numFmtId="0" fontId="10" fillId="0" borderId="66" xfId="0" applyFont="1" applyBorder="1" applyAlignment="1">
      <alignment/>
    </xf>
    <xf numFmtId="0" fontId="10" fillId="0" borderId="4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0" fontId="9" fillId="33" borderId="66" xfId="0" applyFont="1" applyFill="1" applyBorder="1" applyAlignment="1">
      <alignment horizontal="left" vertical="center"/>
    </xf>
    <xf numFmtId="0" fontId="9" fillId="0" borderId="66" xfId="0" applyFont="1" applyBorder="1" applyAlignment="1" quotePrefix="1">
      <alignment horizontal="left" vertical="center"/>
    </xf>
    <xf numFmtId="1" fontId="10" fillId="0" borderId="32" xfId="0" applyNumberFormat="1" applyFont="1" applyBorder="1" applyAlignment="1">
      <alignment horizontal="right" vertical="center"/>
    </xf>
    <xf numFmtId="0" fontId="10" fillId="0" borderId="31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/>
    </xf>
    <xf numFmtId="9" fontId="10" fillId="0" borderId="11" xfId="0" applyNumberFormat="1" applyFont="1" applyBorder="1" applyAlignment="1">
      <alignment vertical="center"/>
    </xf>
    <xf numFmtId="9" fontId="10" fillId="0" borderId="10" xfId="0" applyNumberFormat="1" applyFont="1" applyBorder="1" applyAlignment="1">
      <alignment horizontal="center" vertical="center"/>
    </xf>
    <xf numFmtId="190" fontId="10" fillId="0" borderId="33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90" fontId="10" fillId="0" borderId="13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9" fontId="10" fillId="0" borderId="12" xfId="0" applyNumberFormat="1" applyFont="1" applyBorder="1" applyAlignment="1">
      <alignment/>
    </xf>
    <xf numFmtId="0" fontId="9" fillId="0" borderId="60" xfId="0" applyFont="1" applyBorder="1" applyAlignment="1">
      <alignment horizontal="left" vertical="center"/>
    </xf>
    <xf numFmtId="0" fontId="10" fillId="0" borderId="44" xfId="0" applyFont="1" applyBorder="1" applyAlignment="1" quotePrefix="1">
      <alignment horizontal="left" vertical="center" wrapText="1"/>
    </xf>
    <xf numFmtId="9" fontId="10" fillId="0" borderId="28" xfId="0" applyNumberFormat="1" applyFont="1" applyBorder="1" applyAlignment="1">
      <alignment horizontal="center"/>
    </xf>
    <xf numFmtId="0" fontId="10" fillId="0" borderId="64" xfId="0" applyFont="1" applyFill="1" applyBorder="1" applyAlignment="1">
      <alignment horizontal="left" vertical="center"/>
    </xf>
    <xf numFmtId="9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21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9" fillId="0" borderId="57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23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68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37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48" xfId="0" applyFont="1" applyBorder="1" applyAlignment="1" quotePrefix="1">
      <alignment horizontal="center" vertical="center" wrapText="1"/>
    </xf>
    <xf numFmtId="0" fontId="10" fillId="0" borderId="47" xfId="0" applyFont="1" applyBorder="1" applyAlignment="1" quotePrefix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10" fillId="0" borderId="33" xfId="0" applyNumberFormat="1" applyFont="1" applyBorder="1" applyAlignment="1">
      <alignment horizontal="center" vertical="center" wrapText="1"/>
    </xf>
    <xf numFmtId="0" fontId="10" fillId="0" borderId="43" xfId="0" applyFont="1" applyBorder="1" applyAlignment="1" quotePrefix="1">
      <alignment horizontal="center" vertical="center" wrapText="1"/>
    </xf>
    <xf numFmtId="0" fontId="10" fillId="0" borderId="69" xfId="0" applyFont="1" applyBorder="1" applyAlignment="1" quotePrefix="1">
      <alignment horizontal="center" vertical="center" wrapText="1"/>
    </xf>
    <xf numFmtId="0" fontId="10" fillId="0" borderId="15" xfId="0" applyFont="1" applyBorder="1" applyAlignment="1" quotePrefix="1">
      <alignment horizontal="center" vertical="center" wrapText="1"/>
    </xf>
    <xf numFmtId="0" fontId="10" fillId="0" borderId="33" xfId="0" applyFont="1" applyBorder="1" applyAlignment="1" quotePrefix="1">
      <alignment horizontal="center" vertical="center" wrapText="1"/>
    </xf>
    <xf numFmtId="0" fontId="10" fillId="0" borderId="68" xfId="0" applyFont="1" applyBorder="1" applyAlignment="1" quotePrefix="1">
      <alignment horizontal="center" vertical="center" wrapText="1"/>
    </xf>
    <xf numFmtId="0" fontId="10" fillId="0" borderId="37" xfId="0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780"/>
  <sheetViews>
    <sheetView tabSelected="1" zoomScaleSheetLayoutView="100" workbookViewId="0" topLeftCell="A742">
      <selection activeCell="J594" sqref="J594"/>
    </sheetView>
  </sheetViews>
  <sheetFormatPr defaultColWidth="9.00390625" defaultRowHeight="12.75"/>
  <cols>
    <col min="1" max="1" width="5.125" style="220" customWidth="1"/>
    <col min="2" max="2" width="52.375" style="268" customWidth="1"/>
    <col min="3" max="3" width="7.50390625" style="220" customWidth="1"/>
    <col min="4" max="4" width="16.625" style="303" customWidth="1"/>
    <col min="5" max="5" width="7.875" style="0" customWidth="1"/>
    <col min="6" max="6" width="9.00390625" style="0" customWidth="1"/>
    <col min="7" max="7" width="9.25390625" style="0" customWidth="1"/>
    <col min="8" max="8" width="37.125" style="0" customWidth="1"/>
  </cols>
  <sheetData>
    <row r="1" spans="1:8" s="20" customFormat="1" ht="14.25" customHeight="1">
      <c r="A1" s="189"/>
      <c r="B1" s="221"/>
      <c r="C1" s="190"/>
      <c r="D1" s="279"/>
      <c r="F1" s="23"/>
      <c r="H1" s="23" t="s">
        <v>369</v>
      </c>
    </row>
    <row r="2" spans="1:9" s="19" customFormat="1" ht="15.75" customHeight="1">
      <c r="A2" s="166"/>
      <c r="B2" s="222"/>
      <c r="C2" s="191"/>
      <c r="D2" s="280"/>
      <c r="F2" s="23"/>
      <c r="G2" s="23"/>
      <c r="H2" s="23" t="s">
        <v>370</v>
      </c>
      <c r="I2" s="23"/>
    </row>
    <row r="3" spans="1:9" s="19" customFormat="1" ht="15.75" customHeight="1">
      <c r="A3" s="191"/>
      <c r="B3" s="222"/>
      <c r="C3" s="191"/>
      <c r="D3" s="280"/>
      <c r="F3" s="24"/>
      <c r="G3" s="23"/>
      <c r="H3" s="24" t="s">
        <v>371</v>
      </c>
      <c r="I3" s="23"/>
    </row>
    <row r="4" spans="1:9" s="19" customFormat="1" ht="18" customHeight="1">
      <c r="A4" s="191"/>
      <c r="B4" s="223"/>
      <c r="C4" s="191"/>
      <c r="D4" s="280"/>
      <c r="F4" s="23"/>
      <c r="G4" s="23"/>
      <c r="H4" s="23" t="s">
        <v>372</v>
      </c>
      <c r="I4" s="23"/>
    </row>
    <row r="5" spans="1:8" s="19" customFormat="1" ht="21.75" customHeight="1">
      <c r="A5" s="166"/>
      <c r="B5" s="223"/>
      <c r="C5" s="191"/>
      <c r="D5" s="280"/>
      <c r="F5" s="1"/>
      <c r="H5" s="21"/>
    </row>
    <row r="6" spans="1:8" s="2" customFormat="1" ht="20.25" customHeight="1">
      <c r="A6" s="367" t="s">
        <v>374</v>
      </c>
      <c r="B6" s="367"/>
      <c r="C6" s="367"/>
      <c r="D6" s="367"/>
      <c r="E6" s="367"/>
      <c r="F6" s="367"/>
      <c r="G6" s="367"/>
      <c r="H6" s="367"/>
    </row>
    <row r="7" spans="1:8" ht="18" customHeight="1">
      <c r="A7" s="367" t="s">
        <v>373</v>
      </c>
      <c r="B7" s="368"/>
      <c r="C7" s="368"/>
      <c r="D7" s="368"/>
      <c r="E7" s="368"/>
      <c r="F7" s="368"/>
      <c r="G7" s="368"/>
      <c r="H7" s="368"/>
    </row>
    <row r="8" spans="1:8" ht="16.5" customHeight="1">
      <c r="A8" s="371" t="s">
        <v>375</v>
      </c>
      <c r="B8" s="371"/>
      <c r="C8" s="371"/>
      <c r="D8" s="371"/>
      <c r="E8" s="371"/>
      <c r="F8" s="371"/>
      <c r="G8" s="371"/>
      <c r="H8" s="371"/>
    </row>
    <row r="9" spans="1:8" ht="13.5" customHeight="1" thickBot="1">
      <c r="A9" s="166"/>
      <c r="B9" s="222"/>
      <c r="C9" s="166"/>
      <c r="D9" s="281"/>
      <c r="E9" s="22"/>
      <c r="F9" s="22"/>
      <c r="G9" s="22"/>
      <c r="H9" s="22"/>
    </row>
    <row r="10" spans="1:8" s="23" customFormat="1" ht="48" customHeight="1">
      <c r="A10" s="372" t="s">
        <v>243</v>
      </c>
      <c r="B10" s="374" t="s">
        <v>378</v>
      </c>
      <c r="C10" s="376" t="s">
        <v>241</v>
      </c>
      <c r="D10" s="378" t="s">
        <v>203</v>
      </c>
      <c r="E10" s="380" t="s">
        <v>377</v>
      </c>
      <c r="F10" s="381"/>
      <c r="G10" s="382" t="s">
        <v>154</v>
      </c>
      <c r="H10" s="384" t="s">
        <v>244</v>
      </c>
    </row>
    <row r="11" spans="1:8" s="23" customFormat="1" ht="20.25" customHeight="1" thickBot="1">
      <c r="A11" s="373"/>
      <c r="B11" s="375"/>
      <c r="C11" s="377"/>
      <c r="D11" s="379"/>
      <c r="E11" s="25" t="s">
        <v>245</v>
      </c>
      <c r="F11" s="26" t="s">
        <v>246</v>
      </c>
      <c r="G11" s="383"/>
      <c r="H11" s="385"/>
    </row>
    <row r="12" spans="1:8" s="23" customFormat="1" ht="14.25" customHeight="1" thickBot="1">
      <c r="A12" s="167">
        <v>1</v>
      </c>
      <c r="B12" s="168">
        <v>2</v>
      </c>
      <c r="C12" s="217">
        <v>3</v>
      </c>
      <c r="D12" s="304">
        <v>4</v>
      </c>
      <c r="E12" s="27">
        <v>5</v>
      </c>
      <c r="F12" s="27">
        <v>6</v>
      </c>
      <c r="G12" s="27">
        <v>7</v>
      </c>
      <c r="H12" s="28">
        <v>8</v>
      </c>
    </row>
    <row r="13" spans="1:8" s="23" customFormat="1" ht="18" customHeight="1" thickBot="1">
      <c r="A13" s="167" t="s">
        <v>0</v>
      </c>
      <c r="B13" s="311" t="s">
        <v>449</v>
      </c>
      <c r="C13" s="217"/>
      <c r="D13" s="282"/>
      <c r="E13" s="155"/>
      <c r="F13" s="155"/>
      <c r="G13" s="155"/>
      <c r="H13" s="312"/>
    </row>
    <row r="14" spans="1:8" s="23" customFormat="1" ht="31.5">
      <c r="A14" s="187"/>
      <c r="B14" s="305" t="s">
        <v>254</v>
      </c>
      <c r="C14" s="83" t="s">
        <v>2</v>
      </c>
      <c r="D14" s="150">
        <f>21340.7+1646.13+18999+1044.15+939+2888.4+2100-1391.9-1911.9-115+242+298.28</f>
        <v>46078.86</v>
      </c>
      <c r="E14" s="43">
        <v>80</v>
      </c>
      <c r="F14" s="63">
        <f>ROUND((D14*E14%),0)</f>
        <v>36863</v>
      </c>
      <c r="G14" s="79"/>
      <c r="H14" s="40" t="s">
        <v>43</v>
      </c>
    </row>
    <row r="15" spans="1:8" s="23" customFormat="1" ht="15.75">
      <c r="A15" s="187"/>
      <c r="B15" s="224" t="s">
        <v>206</v>
      </c>
      <c r="C15" s="75" t="s">
        <v>379</v>
      </c>
      <c r="D15" s="149" t="s">
        <v>255</v>
      </c>
      <c r="E15" s="30"/>
      <c r="F15" s="35">
        <f>1446.3*2</f>
        <v>2892.6</v>
      </c>
      <c r="G15" s="30"/>
      <c r="H15" s="33"/>
    </row>
    <row r="16" spans="1:8" s="23" customFormat="1" ht="15.75">
      <c r="A16" s="187"/>
      <c r="B16" s="224" t="s">
        <v>225</v>
      </c>
      <c r="C16" s="75" t="s">
        <v>2</v>
      </c>
      <c r="D16" s="149">
        <f>(2892.6+1298)*0.6</f>
        <v>2514.36</v>
      </c>
      <c r="E16" s="36"/>
      <c r="F16" s="31">
        <f>(F15+1298)*0.6</f>
        <v>2514.36</v>
      </c>
      <c r="G16" s="34" t="s">
        <v>57</v>
      </c>
      <c r="H16" s="33" t="s">
        <v>43</v>
      </c>
    </row>
    <row r="17" spans="1:8" s="23" customFormat="1" ht="15.75">
      <c r="A17" s="187"/>
      <c r="B17" s="224" t="s">
        <v>226</v>
      </c>
      <c r="C17" s="75" t="s">
        <v>2</v>
      </c>
      <c r="D17" s="149">
        <v>3524</v>
      </c>
      <c r="E17" s="30">
        <v>100</v>
      </c>
      <c r="F17" s="31">
        <f>ROUND((D17*E17%),0)</f>
        <v>3524</v>
      </c>
      <c r="G17" s="34" t="s">
        <v>4</v>
      </c>
      <c r="H17" s="33" t="s">
        <v>43</v>
      </c>
    </row>
    <row r="18" spans="1:8" s="23" customFormat="1" ht="15.75">
      <c r="A18" s="187"/>
      <c r="B18" s="225" t="s">
        <v>217</v>
      </c>
      <c r="C18" s="271" t="s">
        <v>2</v>
      </c>
      <c r="D18" s="283">
        <v>25039.8</v>
      </c>
      <c r="E18" s="30">
        <v>70</v>
      </c>
      <c r="F18" s="31">
        <f aca="true" t="shared" si="0" ref="F18:F37">ROUND((D18*E18%),0)</f>
        <v>17528</v>
      </c>
      <c r="G18" s="38"/>
      <c r="H18" s="33" t="s">
        <v>43</v>
      </c>
    </row>
    <row r="19" spans="1:8" s="23" customFormat="1" ht="15.75">
      <c r="A19" s="187"/>
      <c r="B19" s="224" t="s">
        <v>227</v>
      </c>
      <c r="C19" s="75" t="s">
        <v>2</v>
      </c>
      <c r="D19" s="149">
        <v>2374</v>
      </c>
      <c r="E19" s="30">
        <v>100</v>
      </c>
      <c r="F19" s="31">
        <f t="shared" si="0"/>
        <v>2374</v>
      </c>
      <c r="G19" s="34" t="s">
        <v>4</v>
      </c>
      <c r="H19" s="39" t="s">
        <v>43</v>
      </c>
    </row>
    <row r="20" spans="1:8" s="23" customFormat="1" ht="15.75">
      <c r="A20" s="187"/>
      <c r="B20" s="224" t="s">
        <v>221</v>
      </c>
      <c r="C20" s="75" t="s">
        <v>2</v>
      </c>
      <c r="D20" s="149">
        <v>3524</v>
      </c>
      <c r="E20" s="30">
        <v>100</v>
      </c>
      <c r="F20" s="31">
        <f t="shared" si="0"/>
        <v>3524</v>
      </c>
      <c r="G20" s="30"/>
      <c r="H20" s="39" t="s">
        <v>54</v>
      </c>
    </row>
    <row r="21" spans="1:9" s="23" customFormat="1" ht="15.75">
      <c r="A21" s="187"/>
      <c r="B21" s="224" t="s">
        <v>222</v>
      </c>
      <c r="C21" s="75" t="s">
        <v>2</v>
      </c>
      <c r="D21" s="149">
        <v>3524</v>
      </c>
      <c r="E21" s="30">
        <v>100</v>
      </c>
      <c r="F21" s="31">
        <f t="shared" si="0"/>
        <v>3524</v>
      </c>
      <c r="G21" s="30"/>
      <c r="H21" s="39" t="s">
        <v>54</v>
      </c>
      <c r="I21" s="23" t="s">
        <v>144</v>
      </c>
    </row>
    <row r="22" spans="1:9" s="23" customFormat="1" ht="15.75">
      <c r="A22" s="187"/>
      <c r="B22" s="224" t="s">
        <v>207</v>
      </c>
      <c r="C22" s="75" t="s">
        <v>2</v>
      </c>
      <c r="D22" s="149"/>
      <c r="E22" s="31"/>
      <c r="F22" s="31">
        <f>F16</f>
        <v>2514.36</v>
      </c>
      <c r="G22" s="30"/>
      <c r="H22" s="40" t="s">
        <v>55</v>
      </c>
      <c r="I22" s="23" t="s">
        <v>143</v>
      </c>
    </row>
    <row r="23" spans="1:8" s="23" customFormat="1" ht="15.75">
      <c r="A23" s="187"/>
      <c r="B23" s="224" t="s">
        <v>382</v>
      </c>
      <c r="C23" s="75" t="s">
        <v>157</v>
      </c>
      <c r="D23" s="150" t="s">
        <v>161</v>
      </c>
      <c r="E23" s="30">
        <v>30</v>
      </c>
      <c r="F23" s="31">
        <f>15.2*E23%</f>
        <v>4.56</v>
      </c>
      <c r="G23" s="30"/>
      <c r="H23" s="33" t="s">
        <v>55</v>
      </c>
    </row>
    <row r="24" spans="1:8" s="23" customFormat="1" ht="15.75">
      <c r="A24" s="187"/>
      <c r="B24" s="176" t="s">
        <v>211</v>
      </c>
      <c r="C24" s="83" t="s">
        <v>2</v>
      </c>
      <c r="D24" s="150">
        <f>18999+1044.15-1911.9+115+298.28</f>
        <v>18544.53</v>
      </c>
      <c r="E24" s="30">
        <v>80</v>
      </c>
      <c r="F24" s="31">
        <f t="shared" si="0"/>
        <v>14836</v>
      </c>
      <c r="G24" s="34" t="s">
        <v>4</v>
      </c>
      <c r="H24" s="40" t="s">
        <v>43</v>
      </c>
    </row>
    <row r="25" spans="1:8" s="23" customFormat="1" ht="15.75">
      <c r="A25" s="187"/>
      <c r="B25" s="224" t="s">
        <v>228</v>
      </c>
      <c r="C25" s="75" t="s">
        <v>2</v>
      </c>
      <c r="D25" s="149">
        <v>1520.8</v>
      </c>
      <c r="E25" s="30">
        <v>100</v>
      </c>
      <c r="F25" s="31">
        <f t="shared" si="0"/>
        <v>1521</v>
      </c>
      <c r="G25" s="34" t="s">
        <v>4</v>
      </c>
      <c r="H25" s="39" t="s">
        <v>43</v>
      </c>
    </row>
    <row r="26" spans="1:9" s="23" customFormat="1" ht="15.75">
      <c r="A26" s="187"/>
      <c r="B26" s="224" t="s">
        <v>223</v>
      </c>
      <c r="C26" s="75" t="s">
        <v>11</v>
      </c>
      <c r="D26" s="149">
        <v>58</v>
      </c>
      <c r="E26" s="30">
        <v>100</v>
      </c>
      <c r="F26" s="31">
        <f t="shared" si="0"/>
        <v>58</v>
      </c>
      <c r="G26" s="30"/>
      <c r="H26" s="343" t="s">
        <v>359</v>
      </c>
      <c r="I26" s="23" t="s">
        <v>145</v>
      </c>
    </row>
    <row r="27" spans="1:9" s="23" customFormat="1" ht="15.75">
      <c r="A27" s="187"/>
      <c r="B27" s="226" t="s">
        <v>224</v>
      </c>
      <c r="C27" s="269" t="s">
        <v>38</v>
      </c>
      <c r="D27" s="149" t="s">
        <v>339</v>
      </c>
      <c r="E27" s="30">
        <v>100</v>
      </c>
      <c r="F27" s="45" t="str">
        <f>D27</f>
        <v>63/302,4</v>
      </c>
      <c r="G27" s="46" t="s">
        <v>4</v>
      </c>
      <c r="H27" s="358"/>
      <c r="I27" s="48" t="s">
        <v>6</v>
      </c>
    </row>
    <row r="28" spans="1:8" s="23" customFormat="1" ht="15.75">
      <c r="A28" s="187"/>
      <c r="B28" s="227" t="s">
        <v>204</v>
      </c>
      <c r="C28" s="83" t="s">
        <v>2</v>
      </c>
      <c r="D28" s="150">
        <f>18999+1044.15-1911.9+115+298.28</f>
        <v>18544.53</v>
      </c>
      <c r="E28" s="43">
        <v>40</v>
      </c>
      <c r="F28" s="31">
        <f t="shared" si="0"/>
        <v>7418</v>
      </c>
      <c r="G28" s="34" t="s">
        <v>4</v>
      </c>
      <c r="H28" s="47" t="s">
        <v>54</v>
      </c>
    </row>
    <row r="29" spans="1:8" s="23" customFormat="1" ht="15.75">
      <c r="A29" s="187"/>
      <c r="B29" s="227" t="s">
        <v>274</v>
      </c>
      <c r="C29" s="83" t="s">
        <v>2</v>
      </c>
      <c r="D29" s="149">
        <v>1520.8</v>
      </c>
      <c r="E29" s="30">
        <v>100</v>
      </c>
      <c r="F29" s="31">
        <f t="shared" si="0"/>
        <v>1521</v>
      </c>
      <c r="G29" s="34" t="s">
        <v>4</v>
      </c>
      <c r="H29" s="47" t="s">
        <v>54</v>
      </c>
    </row>
    <row r="30" spans="1:8" s="23" customFormat="1" ht="15.75">
      <c r="A30" s="187"/>
      <c r="B30" s="224" t="s">
        <v>298</v>
      </c>
      <c r="C30" s="75" t="s">
        <v>299</v>
      </c>
      <c r="D30" s="149">
        <v>61</v>
      </c>
      <c r="E30" s="30">
        <v>100</v>
      </c>
      <c r="F30" s="31">
        <f t="shared" si="0"/>
        <v>61</v>
      </c>
      <c r="G30" s="32"/>
      <c r="H30" s="47" t="s">
        <v>54</v>
      </c>
    </row>
    <row r="31" spans="1:8" s="23" customFormat="1" ht="15.75">
      <c r="A31" s="187"/>
      <c r="B31" s="224" t="s">
        <v>268</v>
      </c>
      <c r="C31" s="75" t="s">
        <v>2</v>
      </c>
      <c r="D31" s="150">
        <f>18999+1044.15-1911.9+115+298.28</f>
        <v>18544.53</v>
      </c>
      <c r="E31" s="43">
        <v>40</v>
      </c>
      <c r="F31" s="31">
        <f t="shared" si="0"/>
        <v>7418</v>
      </c>
      <c r="G31" s="34" t="s">
        <v>4</v>
      </c>
      <c r="H31" s="47" t="s">
        <v>54</v>
      </c>
    </row>
    <row r="32" spans="1:8" s="23" customFormat="1" ht="15.75" customHeight="1">
      <c r="A32" s="187"/>
      <c r="B32" s="227" t="s">
        <v>283</v>
      </c>
      <c r="C32" s="75" t="s">
        <v>2</v>
      </c>
      <c r="D32" s="150">
        <v>59.25</v>
      </c>
      <c r="E32" s="30">
        <v>100</v>
      </c>
      <c r="F32" s="31">
        <f t="shared" si="0"/>
        <v>59</v>
      </c>
      <c r="G32" s="34" t="s">
        <v>4</v>
      </c>
      <c r="H32" s="47" t="s">
        <v>54</v>
      </c>
    </row>
    <row r="33" spans="1:8" s="23" customFormat="1" ht="15.75">
      <c r="A33" s="187"/>
      <c r="B33" s="224" t="s">
        <v>205</v>
      </c>
      <c r="C33" s="75" t="s">
        <v>2</v>
      </c>
      <c r="D33" s="150">
        <f>18999+1044.15-1911.9+115+298.28</f>
        <v>18544.53</v>
      </c>
      <c r="E33" s="30">
        <v>30</v>
      </c>
      <c r="F33" s="31">
        <f t="shared" si="0"/>
        <v>5563</v>
      </c>
      <c r="G33" s="30"/>
      <c r="H33" s="47" t="s">
        <v>54</v>
      </c>
    </row>
    <row r="34" spans="1:8" s="23" customFormat="1" ht="15.75">
      <c r="A34" s="187"/>
      <c r="B34" s="224" t="s">
        <v>294</v>
      </c>
      <c r="C34" s="75" t="s">
        <v>2</v>
      </c>
      <c r="D34" s="149">
        <v>1520.8</v>
      </c>
      <c r="E34" s="30">
        <v>100</v>
      </c>
      <c r="F34" s="31">
        <f t="shared" si="0"/>
        <v>1521</v>
      </c>
      <c r="G34" s="30"/>
      <c r="H34" s="47" t="s">
        <v>54</v>
      </c>
    </row>
    <row r="35" spans="1:8" s="23" customFormat="1" ht="15.75">
      <c r="A35" s="187"/>
      <c r="B35" s="224" t="s">
        <v>363</v>
      </c>
      <c r="C35" s="75" t="s">
        <v>2</v>
      </c>
      <c r="D35" s="149">
        <f>21340.7+1646.13+2100-103.83</f>
        <v>24983</v>
      </c>
      <c r="E35" s="30">
        <v>100</v>
      </c>
      <c r="F35" s="31">
        <f t="shared" si="0"/>
        <v>24983</v>
      </c>
      <c r="G35" s="32"/>
      <c r="H35" s="33" t="s">
        <v>361</v>
      </c>
    </row>
    <row r="36" spans="1:8" s="23" customFormat="1" ht="15.75">
      <c r="A36" s="187"/>
      <c r="B36" s="224" t="s">
        <v>363</v>
      </c>
      <c r="C36" s="75" t="s">
        <v>2</v>
      </c>
      <c r="D36" s="149">
        <f>21340.7+1646.13+2100-103.83</f>
        <v>24983</v>
      </c>
      <c r="E36" s="30">
        <v>20</v>
      </c>
      <c r="F36" s="31">
        <f t="shared" si="0"/>
        <v>4997</v>
      </c>
      <c r="G36" s="32"/>
      <c r="H36" s="33" t="s">
        <v>360</v>
      </c>
    </row>
    <row r="37" spans="1:8" s="23" customFormat="1" ht="15.75">
      <c r="A37" s="187"/>
      <c r="B37" s="228" t="s">
        <v>212</v>
      </c>
      <c r="C37" s="75" t="s">
        <v>2</v>
      </c>
      <c r="D37" s="149">
        <f>21340.7+1646.13+2100-1391.9-1391.9-103.83</f>
        <v>22199.199999999997</v>
      </c>
      <c r="E37" s="31">
        <v>70</v>
      </c>
      <c r="F37" s="31">
        <f t="shared" si="0"/>
        <v>15539</v>
      </c>
      <c r="G37" s="30"/>
      <c r="H37" s="33" t="s">
        <v>198</v>
      </c>
    </row>
    <row r="38" spans="1:8" s="23" customFormat="1" ht="16.5" thickBot="1">
      <c r="A38" s="187"/>
      <c r="B38" s="229" t="s">
        <v>181</v>
      </c>
      <c r="C38" s="272" t="s">
        <v>182</v>
      </c>
      <c r="D38" s="284">
        <v>2.2303</v>
      </c>
      <c r="E38" s="51">
        <v>80</v>
      </c>
      <c r="F38" s="35">
        <f>D38*E38%</f>
        <v>1.7842400000000003</v>
      </c>
      <c r="G38" s="50"/>
      <c r="H38" s="52" t="s">
        <v>198</v>
      </c>
    </row>
    <row r="39" spans="1:8" s="23" customFormat="1" ht="16.5" thickBot="1">
      <c r="A39" s="167" t="s">
        <v>3</v>
      </c>
      <c r="B39" s="311" t="s">
        <v>450</v>
      </c>
      <c r="C39" s="217"/>
      <c r="D39" s="282"/>
      <c r="E39" s="155"/>
      <c r="F39" s="155"/>
      <c r="G39" s="155"/>
      <c r="H39" s="312"/>
    </row>
    <row r="40" spans="1:8" s="23" customFormat="1" ht="31.5">
      <c r="A40" s="192"/>
      <c r="B40" s="337" t="s">
        <v>248</v>
      </c>
      <c r="C40" s="199" t="s">
        <v>2</v>
      </c>
      <c r="D40" s="287">
        <f>40856.8+9384.1+462+55+2414+196.5+151+2200+2814.86</f>
        <v>58534.26</v>
      </c>
      <c r="E40" s="59">
        <v>80</v>
      </c>
      <c r="F40" s="60">
        <f>ROUND((D40*E40%),0)</f>
        <v>46827</v>
      </c>
      <c r="G40" s="338"/>
      <c r="H40" s="62" t="s">
        <v>44</v>
      </c>
    </row>
    <row r="41" spans="1:8" s="23" customFormat="1" ht="15.75">
      <c r="A41" s="187"/>
      <c r="B41" s="224" t="s">
        <v>206</v>
      </c>
      <c r="C41" s="75" t="s">
        <v>379</v>
      </c>
      <c r="D41" s="149"/>
      <c r="E41" s="30"/>
      <c r="F41" s="30">
        <v>2745</v>
      </c>
      <c r="G41" s="30"/>
      <c r="H41" s="33"/>
    </row>
    <row r="42" spans="1:8" s="23" customFormat="1" ht="15.75">
      <c r="A42" s="187"/>
      <c r="B42" s="224" t="s">
        <v>216</v>
      </c>
      <c r="C42" s="75" t="s">
        <v>2</v>
      </c>
      <c r="D42" s="285" t="s">
        <v>313</v>
      </c>
      <c r="E42" s="34">
        <v>100</v>
      </c>
      <c r="F42" s="30">
        <f>F41*0.6</f>
        <v>1647</v>
      </c>
      <c r="G42" s="34" t="s">
        <v>247</v>
      </c>
      <c r="H42" s="39" t="s">
        <v>48</v>
      </c>
    </row>
    <row r="43" spans="1:8" s="23" customFormat="1" ht="15.75">
      <c r="A43" s="187"/>
      <c r="B43" s="169" t="s">
        <v>367</v>
      </c>
      <c r="C43" s="75" t="s">
        <v>2</v>
      </c>
      <c r="D43" s="149">
        <v>1569.8</v>
      </c>
      <c r="E43" s="31">
        <v>60</v>
      </c>
      <c r="F43" s="31">
        <f aca="true" t="shared" si="1" ref="F43:F52">ROUND((D43*E43%),0)</f>
        <v>942</v>
      </c>
      <c r="G43" s="53"/>
      <c r="H43" s="39" t="s">
        <v>48</v>
      </c>
    </row>
    <row r="44" spans="1:8" s="23" customFormat="1" ht="15.75">
      <c r="A44" s="187"/>
      <c r="B44" s="224" t="s">
        <v>207</v>
      </c>
      <c r="C44" s="75" t="s">
        <v>2</v>
      </c>
      <c r="D44" s="285" t="s">
        <v>313</v>
      </c>
      <c r="E44" s="31"/>
      <c r="F44" s="31">
        <f>F42</f>
        <v>1647</v>
      </c>
      <c r="G44" s="30"/>
      <c r="H44" s="40" t="s">
        <v>55</v>
      </c>
    </row>
    <row r="45" spans="1:8" s="23" customFormat="1" ht="15.75">
      <c r="A45" s="187"/>
      <c r="B45" s="230" t="s">
        <v>210</v>
      </c>
      <c r="C45" s="75" t="s">
        <v>2</v>
      </c>
      <c r="D45" s="277">
        <f>43990+1360</f>
        <v>45350</v>
      </c>
      <c r="E45" s="31">
        <v>60</v>
      </c>
      <c r="F45" s="31">
        <f>D45*E45/100</f>
        <v>27210</v>
      </c>
      <c r="G45" s="34"/>
      <c r="H45" s="39" t="s">
        <v>48</v>
      </c>
    </row>
    <row r="46" spans="1:8" s="23" customFormat="1" ht="15.75">
      <c r="A46" s="187"/>
      <c r="B46" s="224" t="s">
        <v>209</v>
      </c>
      <c r="C46" s="75" t="s">
        <v>2</v>
      </c>
      <c r="D46" s="149">
        <v>1360</v>
      </c>
      <c r="E46" s="30">
        <v>100</v>
      </c>
      <c r="F46" s="31">
        <f t="shared" si="1"/>
        <v>1360</v>
      </c>
      <c r="G46" s="34" t="s">
        <v>247</v>
      </c>
      <c r="H46" s="39" t="s">
        <v>53</v>
      </c>
    </row>
    <row r="47" spans="1:8" s="23" customFormat="1" ht="15.75">
      <c r="A47" s="187"/>
      <c r="B47" s="224" t="s">
        <v>382</v>
      </c>
      <c r="C47" s="75" t="s">
        <v>157</v>
      </c>
      <c r="D47" s="150" t="s">
        <v>284</v>
      </c>
      <c r="E47" s="30">
        <v>50</v>
      </c>
      <c r="F47" s="31">
        <f>ROUND((28.5*E47%),0)</f>
        <v>14</v>
      </c>
      <c r="G47" s="30"/>
      <c r="H47" s="33" t="s">
        <v>55</v>
      </c>
    </row>
    <row r="48" spans="1:8" s="23" customFormat="1" ht="15.75">
      <c r="A48" s="195"/>
      <c r="B48" s="231" t="s">
        <v>211</v>
      </c>
      <c r="C48" s="75" t="s">
        <v>2</v>
      </c>
      <c r="D48" s="149">
        <f>9384.1+196.5+151+284.76</f>
        <v>10016.36</v>
      </c>
      <c r="E48" s="30">
        <v>50</v>
      </c>
      <c r="F48" s="31">
        <f t="shared" si="1"/>
        <v>5008</v>
      </c>
      <c r="G48" s="53" t="s">
        <v>247</v>
      </c>
      <c r="H48" s="39" t="s">
        <v>48</v>
      </c>
    </row>
    <row r="49" spans="1:8" s="23" customFormat="1" ht="15.75">
      <c r="A49" s="195"/>
      <c r="B49" s="231" t="s">
        <v>204</v>
      </c>
      <c r="C49" s="75" t="s">
        <v>2</v>
      </c>
      <c r="D49" s="149">
        <f>7882+1502.1+196.5+151+284.76</f>
        <v>10016.36</v>
      </c>
      <c r="E49" s="30">
        <v>30</v>
      </c>
      <c r="F49" s="31">
        <f t="shared" si="1"/>
        <v>3005</v>
      </c>
      <c r="G49" s="32"/>
      <c r="H49" s="39" t="s">
        <v>54</v>
      </c>
    </row>
    <row r="50" spans="1:8" s="23" customFormat="1" ht="15.75">
      <c r="A50" s="195"/>
      <c r="B50" s="239" t="s">
        <v>268</v>
      </c>
      <c r="C50" s="83" t="s">
        <v>2</v>
      </c>
      <c r="D50" s="150">
        <f>7882+1502.1+196.5+151+284.76</f>
        <v>10016.36</v>
      </c>
      <c r="E50" s="43">
        <v>30</v>
      </c>
      <c r="F50" s="63">
        <f t="shared" si="1"/>
        <v>3005</v>
      </c>
      <c r="G50" s="79"/>
      <c r="H50" s="47" t="s">
        <v>54</v>
      </c>
    </row>
    <row r="51" spans="1:8" s="23" customFormat="1" ht="15.75">
      <c r="A51" s="187"/>
      <c r="B51" s="227" t="s">
        <v>283</v>
      </c>
      <c r="C51" s="83" t="s">
        <v>2</v>
      </c>
      <c r="D51" s="150">
        <v>15.75</v>
      </c>
      <c r="E51" s="43">
        <v>100</v>
      </c>
      <c r="F51" s="63">
        <f t="shared" si="1"/>
        <v>16</v>
      </c>
      <c r="G51" s="64" t="s">
        <v>4</v>
      </c>
      <c r="H51" s="39" t="s">
        <v>54</v>
      </c>
    </row>
    <row r="52" spans="1:8" s="23" customFormat="1" ht="15.75">
      <c r="A52" s="187"/>
      <c r="B52" s="224" t="s">
        <v>205</v>
      </c>
      <c r="C52" s="75" t="s">
        <v>2</v>
      </c>
      <c r="D52" s="149">
        <f>7882+1502.1+196.5+151+284.76</f>
        <v>10016.36</v>
      </c>
      <c r="E52" s="30">
        <v>30</v>
      </c>
      <c r="F52" s="31">
        <f t="shared" si="1"/>
        <v>3005</v>
      </c>
      <c r="G52" s="30"/>
      <c r="H52" s="47" t="s">
        <v>54</v>
      </c>
    </row>
    <row r="53" spans="1:8" s="23" customFormat="1" ht="15.75">
      <c r="A53" s="187"/>
      <c r="B53" s="224" t="s">
        <v>224</v>
      </c>
      <c r="C53" s="269" t="s">
        <v>38</v>
      </c>
      <c r="D53" s="149" t="s">
        <v>128</v>
      </c>
      <c r="E53" s="30">
        <v>100</v>
      </c>
      <c r="F53" s="45" t="s">
        <v>128</v>
      </c>
      <c r="G53" s="34" t="s">
        <v>4</v>
      </c>
      <c r="H53" s="343" t="s">
        <v>359</v>
      </c>
    </row>
    <row r="54" spans="1:8" s="23" customFormat="1" ht="15.75">
      <c r="A54" s="187"/>
      <c r="B54" s="224" t="s">
        <v>223</v>
      </c>
      <c r="C54" s="75" t="s">
        <v>11</v>
      </c>
      <c r="D54" s="149">
        <v>5</v>
      </c>
      <c r="E54" s="30">
        <v>100</v>
      </c>
      <c r="F54" s="30">
        <v>5</v>
      </c>
      <c r="G54" s="34"/>
      <c r="H54" s="358"/>
    </row>
    <row r="55" spans="1:8" s="23" customFormat="1" ht="15.75">
      <c r="A55" s="187"/>
      <c r="B55" s="224" t="s">
        <v>363</v>
      </c>
      <c r="C55" s="83" t="s">
        <v>2</v>
      </c>
      <c r="D55" s="150">
        <f>36724+4132.8+2414+2200+2530.1</f>
        <v>48000.9</v>
      </c>
      <c r="E55" s="30">
        <v>50</v>
      </c>
      <c r="F55" s="31">
        <f>ROUND((D55*E55%),0)</f>
        <v>24000</v>
      </c>
      <c r="G55" s="32"/>
      <c r="H55" s="33" t="s">
        <v>380</v>
      </c>
    </row>
    <row r="56" spans="1:8" s="23" customFormat="1" ht="15.75">
      <c r="A56" s="187"/>
      <c r="B56" s="225" t="s">
        <v>363</v>
      </c>
      <c r="C56" s="272" t="s">
        <v>2</v>
      </c>
      <c r="D56" s="284">
        <f>36724+4132.8+2414+2200+2530.1</f>
        <v>48000.9</v>
      </c>
      <c r="E56" s="37">
        <v>20</v>
      </c>
      <c r="F56" s="334">
        <f>ROUND((D56*E56%),0)</f>
        <v>9600</v>
      </c>
      <c r="G56" s="335"/>
      <c r="H56" s="72" t="s">
        <v>360</v>
      </c>
    </row>
    <row r="57" spans="1:8" s="23" customFormat="1" ht="15.75">
      <c r="A57" s="195"/>
      <c r="B57" s="231" t="s">
        <v>212</v>
      </c>
      <c r="C57" s="75" t="s">
        <v>2</v>
      </c>
      <c r="D57" s="149">
        <f>40856.8+2414+2200+2530.1</f>
        <v>48000.9</v>
      </c>
      <c r="E57" s="30">
        <v>80</v>
      </c>
      <c r="F57" s="31">
        <f>ROUND((D57*E57%),0)</f>
        <v>38401</v>
      </c>
      <c r="G57" s="30"/>
      <c r="H57" s="39" t="s">
        <v>198</v>
      </c>
    </row>
    <row r="58" spans="1:8" s="23" customFormat="1" ht="16.5" thickBot="1">
      <c r="A58" s="196"/>
      <c r="B58" s="249" t="s">
        <v>181</v>
      </c>
      <c r="C58" s="197" t="s">
        <v>182</v>
      </c>
      <c r="D58" s="286">
        <f>D57/10000</f>
        <v>4.80009</v>
      </c>
      <c r="E58" s="55">
        <f>E57</f>
        <v>80</v>
      </c>
      <c r="F58" s="154">
        <f>D58*E58%</f>
        <v>3.840072</v>
      </c>
      <c r="G58" s="55"/>
      <c r="H58" s="58" t="s">
        <v>198</v>
      </c>
    </row>
    <row r="59" spans="1:8" s="23" customFormat="1" ht="16.5" customHeight="1" thickBot="1">
      <c r="A59" s="188" t="s">
        <v>8</v>
      </c>
      <c r="B59" s="336" t="s">
        <v>451</v>
      </c>
      <c r="C59" s="273"/>
      <c r="D59" s="288"/>
      <c r="E59" s="69"/>
      <c r="F59" s="69"/>
      <c r="G59" s="69"/>
      <c r="H59" s="70"/>
    </row>
    <row r="60" spans="1:8" s="23" customFormat="1" ht="16.5" customHeight="1">
      <c r="A60" s="187"/>
      <c r="B60" s="306" t="s">
        <v>249</v>
      </c>
      <c r="C60" s="83" t="s">
        <v>2</v>
      </c>
      <c r="D60" s="150">
        <f>2337.5+1254</f>
        <v>3591.5</v>
      </c>
      <c r="E60" s="43">
        <v>80</v>
      </c>
      <c r="F60" s="63">
        <f>ROUND((D60*E60%),0)</f>
        <v>2873</v>
      </c>
      <c r="G60" s="92"/>
      <c r="H60" s="47" t="s">
        <v>48</v>
      </c>
    </row>
    <row r="61" spans="1:8" s="23" customFormat="1" ht="15.75" customHeight="1">
      <c r="A61" s="195"/>
      <c r="B61" s="231" t="s">
        <v>206</v>
      </c>
      <c r="C61" s="75" t="s">
        <v>379</v>
      </c>
      <c r="D61" s="149"/>
      <c r="E61" s="30"/>
      <c r="F61" s="30">
        <v>724</v>
      </c>
      <c r="G61" s="30"/>
      <c r="H61" s="33"/>
    </row>
    <row r="62" spans="1:8" s="23" customFormat="1" ht="15.75" customHeight="1">
      <c r="A62" s="187"/>
      <c r="B62" s="234" t="s">
        <v>208</v>
      </c>
      <c r="C62" s="83" t="s">
        <v>2</v>
      </c>
      <c r="D62" s="73" t="s">
        <v>314</v>
      </c>
      <c r="E62" s="68"/>
      <c r="F62" s="63">
        <f>(F61+1267.3)*0.6</f>
        <v>1194.78</v>
      </c>
      <c r="G62" s="64" t="s">
        <v>247</v>
      </c>
      <c r="H62" s="47" t="s">
        <v>48</v>
      </c>
    </row>
    <row r="63" spans="1:8" s="23" customFormat="1" ht="15.75" customHeight="1">
      <c r="A63" s="187"/>
      <c r="B63" s="228" t="s">
        <v>214</v>
      </c>
      <c r="C63" s="75"/>
      <c r="D63" s="149">
        <f>6076.1+1267.3</f>
        <v>7343.400000000001</v>
      </c>
      <c r="E63" s="30">
        <v>40</v>
      </c>
      <c r="F63" s="31">
        <f aca="true" t="shared" si="2" ref="F63:F74">ROUND((D63*E63%),0)</f>
        <v>2937</v>
      </c>
      <c r="G63" s="53"/>
      <c r="H63" s="39" t="s">
        <v>48</v>
      </c>
    </row>
    <row r="64" spans="1:8" s="23" customFormat="1" ht="15" customHeight="1">
      <c r="A64" s="187"/>
      <c r="B64" s="228" t="s">
        <v>213</v>
      </c>
      <c r="C64" s="75" t="s">
        <v>2</v>
      </c>
      <c r="D64" s="149"/>
      <c r="E64" s="31"/>
      <c r="F64" s="31">
        <f>F62</f>
        <v>1194.78</v>
      </c>
      <c r="G64" s="30"/>
      <c r="H64" s="40" t="s">
        <v>55</v>
      </c>
    </row>
    <row r="65" spans="1:8" s="23" customFormat="1" ht="15.75">
      <c r="A65" s="187"/>
      <c r="B65" s="224" t="s">
        <v>382</v>
      </c>
      <c r="C65" s="75" t="s">
        <v>157</v>
      </c>
      <c r="D65" s="150" t="s">
        <v>162</v>
      </c>
      <c r="E65" s="30">
        <v>50</v>
      </c>
      <c r="F65" s="30">
        <v>0.38</v>
      </c>
      <c r="G65" s="30"/>
      <c r="H65" s="33" t="s">
        <v>55</v>
      </c>
    </row>
    <row r="66" spans="1:8" s="23" customFormat="1" ht="15.75" customHeight="1">
      <c r="A66" s="187"/>
      <c r="B66" s="228" t="s">
        <v>215</v>
      </c>
      <c r="C66" s="75" t="s">
        <v>2</v>
      </c>
      <c r="D66" s="149">
        <v>1254</v>
      </c>
      <c r="E66" s="30">
        <v>60</v>
      </c>
      <c r="F66" s="31">
        <f t="shared" si="2"/>
        <v>752</v>
      </c>
      <c r="G66" s="53" t="s">
        <v>247</v>
      </c>
      <c r="H66" s="39" t="s">
        <v>362</v>
      </c>
    </row>
    <row r="67" spans="1:8" s="23" customFormat="1" ht="14.25" customHeight="1">
      <c r="A67" s="187"/>
      <c r="B67" s="228" t="s">
        <v>204</v>
      </c>
      <c r="C67" s="75" t="s">
        <v>2</v>
      </c>
      <c r="D67" s="149">
        <v>1254</v>
      </c>
      <c r="E67" s="30">
        <v>30</v>
      </c>
      <c r="F67" s="31">
        <f t="shared" si="2"/>
        <v>376</v>
      </c>
      <c r="G67" s="32"/>
      <c r="H67" s="39" t="s">
        <v>54</v>
      </c>
    </row>
    <row r="68" spans="1:8" s="23" customFormat="1" ht="15.75">
      <c r="A68" s="187"/>
      <c r="B68" s="228" t="s">
        <v>268</v>
      </c>
      <c r="C68" s="75" t="s">
        <v>2</v>
      </c>
      <c r="D68" s="149">
        <v>1254</v>
      </c>
      <c r="E68" s="30">
        <v>30</v>
      </c>
      <c r="F68" s="31">
        <f t="shared" si="2"/>
        <v>376</v>
      </c>
      <c r="G68" s="32"/>
      <c r="H68" s="39" t="s">
        <v>54</v>
      </c>
    </row>
    <row r="69" spans="1:8" s="23" customFormat="1" ht="13.5" customHeight="1">
      <c r="A69" s="187"/>
      <c r="B69" s="228" t="s">
        <v>205</v>
      </c>
      <c r="C69" s="75" t="s">
        <v>2</v>
      </c>
      <c r="D69" s="149">
        <v>1254</v>
      </c>
      <c r="E69" s="30">
        <v>30</v>
      </c>
      <c r="F69" s="31">
        <f t="shared" si="2"/>
        <v>376</v>
      </c>
      <c r="G69" s="30"/>
      <c r="H69" s="39" t="s">
        <v>54</v>
      </c>
    </row>
    <row r="70" spans="1:8" s="23" customFormat="1" ht="14.25" customHeight="1">
      <c r="A70" s="187"/>
      <c r="B70" s="224" t="s">
        <v>363</v>
      </c>
      <c r="C70" s="75" t="s">
        <v>2</v>
      </c>
      <c r="D70" s="149">
        <v>2337.5</v>
      </c>
      <c r="E70" s="30">
        <v>20</v>
      </c>
      <c r="F70" s="31">
        <f t="shared" si="2"/>
        <v>468</v>
      </c>
      <c r="G70" s="32"/>
      <c r="H70" s="33" t="s">
        <v>381</v>
      </c>
    </row>
    <row r="71" spans="1:8" s="23" customFormat="1" ht="14.25" customHeight="1">
      <c r="A71" s="187"/>
      <c r="B71" s="224" t="s">
        <v>363</v>
      </c>
      <c r="C71" s="75" t="s">
        <v>2</v>
      </c>
      <c r="D71" s="149">
        <v>2337.5</v>
      </c>
      <c r="E71" s="30">
        <v>10</v>
      </c>
      <c r="F71" s="31">
        <f t="shared" si="2"/>
        <v>234</v>
      </c>
      <c r="G71" s="32"/>
      <c r="H71" s="33" t="s">
        <v>360</v>
      </c>
    </row>
    <row r="72" spans="1:9" s="23" customFormat="1" ht="16.5" customHeight="1" thickBot="1">
      <c r="A72" s="188"/>
      <c r="B72" s="235" t="s">
        <v>212</v>
      </c>
      <c r="C72" s="273" t="s">
        <v>2</v>
      </c>
      <c r="D72" s="288">
        <v>2337.5</v>
      </c>
      <c r="E72" s="56">
        <v>100</v>
      </c>
      <c r="F72" s="56">
        <f t="shared" si="2"/>
        <v>2338</v>
      </c>
      <c r="G72" s="69"/>
      <c r="H72" s="70" t="s">
        <v>198</v>
      </c>
      <c r="I72" s="23" t="s">
        <v>267</v>
      </c>
    </row>
    <row r="73" spans="1:8" s="23" customFormat="1" ht="19.5" customHeight="1" thickBot="1">
      <c r="A73" s="167" t="s">
        <v>9</v>
      </c>
      <c r="B73" s="313" t="s">
        <v>452</v>
      </c>
      <c r="C73" s="217"/>
      <c r="D73" s="282"/>
      <c r="E73" s="155"/>
      <c r="F73" s="155"/>
      <c r="G73" s="155"/>
      <c r="H73" s="156"/>
    </row>
    <row r="74" spans="1:8" s="23" customFormat="1" ht="15.75">
      <c r="A74" s="187"/>
      <c r="B74" s="176" t="s">
        <v>73</v>
      </c>
      <c r="C74" s="83" t="s">
        <v>2</v>
      </c>
      <c r="D74" s="150">
        <f>21193.7+131+3443.6+3887+1886</f>
        <v>30541.3</v>
      </c>
      <c r="E74" s="81">
        <v>50</v>
      </c>
      <c r="F74" s="121">
        <f t="shared" si="2"/>
        <v>15271</v>
      </c>
      <c r="G74" s="328"/>
      <c r="H74" s="40" t="s">
        <v>44</v>
      </c>
    </row>
    <row r="75" spans="1:8" s="23" customFormat="1" ht="15" customHeight="1">
      <c r="A75" s="200"/>
      <c r="B75" s="176" t="s">
        <v>206</v>
      </c>
      <c r="C75" s="83" t="s">
        <v>379</v>
      </c>
      <c r="D75" s="150"/>
      <c r="E75" s="30"/>
      <c r="F75" s="43">
        <v>722</v>
      </c>
      <c r="G75" s="43"/>
      <c r="H75" s="40"/>
    </row>
    <row r="76" spans="1:8" s="23" customFormat="1" ht="14.25" customHeight="1">
      <c r="A76" s="200"/>
      <c r="B76" s="224" t="s">
        <v>216</v>
      </c>
      <c r="C76" s="83" t="s">
        <v>2</v>
      </c>
      <c r="D76" s="73" t="s">
        <v>315</v>
      </c>
      <c r="E76" s="34"/>
      <c r="F76" s="43">
        <v>433</v>
      </c>
      <c r="G76" s="34" t="s">
        <v>4</v>
      </c>
      <c r="H76" s="33" t="s">
        <v>48</v>
      </c>
    </row>
    <row r="77" spans="1:8" s="23" customFormat="1" ht="13.5" customHeight="1">
      <c r="A77" s="200"/>
      <c r="B77" s="176" t="s">
        <v>231</v>
      </c>
      <c r="C77" s="83" t="s">
        <v>2</v>
      </c>
      <c r="D77" s="150">
        <v>13099.8</v>
      </c>
      <c r="E77" s="43">
        <v>70</v>
      </c>
      <c r="F77" s="31">
        <f aca="true" t="shared" si="3" ref="F77:F84">ROUND((D77*E77%),0)</f>
        <v>9170</v>
      </c>
      <c r="G77" s="71"/>
      <c r="H77" s="40" t="s">
        <v>43</v>
      </c>
    </row>
    <row r="78" spans="1:8" s="23" customFormat="1" ht="13.5" customHeight="1">
      <c r="A78" s="200"/>
      <c r="B78" s="224" t="s">
        <v>69</v>
      </c>
      <c r="C78" s="75" t="s">
        <v>2</v>
      </c>
      <c r="D78" s="149">
        <v>215</v>
      </c>
      <c r="E78" s="30">
        <v>100</v>
      </c>
      <c r="F78" s="31">
        <f t="shared" si="3"/>
        <v>215</v>
      </c>
      <c r="G78" s="34" t="s">
        <v>4</v>
      </c>
      <c r="H78" s="33" t="s">
        <v>44</v>
      </c>
    </row>
    <row r="79" spans="1:8" s="23" customFormat="1" ht="13.5" customHeight="1">
      <c r="A79" s="200"/>
      <c r="B79" s="236" t="s">
        <v>74</v>
      </c>
      <c r="C79" s="75" t="s">
        <v>2</v>
      </c>
      <c r="D79" s="149">
        <v>265.6</v>
      </c>
      <c r="E79" s="30">
        <v>100</v>
      </c>
      <c r="F79" s="31">
        <f t="shared" si="3"/>
        <v>266</v>
      </c>
      <c r="G79" s="34" t="s">
        <v>4</v>
      </c>
      <c r="H79" s="33" t="s">
        <v>44</v>
      </c>
    </row>
    <row r="80" spans="1:8" s="23" customFormat="1" ht="13.5" customHeight="1">
      <c r="A80" s="200"/>
      <c r="B80" s="176" t="s">
        <v>221</v>
      </c>
      <c r="C80" s="83" t="s">
        <v>2</v>
      </c>
      <c r="D80" s="150">
        <v>215</v>
      </c>
      <c r="E80" s="43">
        <v>80</v>
      </c>
      <c r="F80" s="31">
        <f t="shared" si="3"/>
        <v>172</v>
      </c>
      <c r="G80" s="43"/>
      <c r="H80" s="33" t="s">
        <v>54</v>
      </c>
    </row>
    <row r="81" spans="1:8" s="23" customFormat="1" ht="13.5" customHeight="1">
      <c r="A81" s="200"/>
      <c r="B81" s="225" t="s">
        <v>222</v>
      </c>
      <c r="C81" s="271" t="s">
        <v>2</v>
      </c>
      <c r="D81" s="283">
        <v>215</v>
      </c>
      <c r="E81" s="30">
        <v>100</v>
      </c>
      <c r="F81" s="31">
        <f t="shared" si="3"/>
        <v>215</v>
      </c>
      <c r="G81" s="37"/>
      <c r="H81" s="72" t="s">
        <v>54</v>
      </c>
    </row>
    <row r="82" spans="1:8" s="23" customFormat="1" ht="15.75">
      <c r="A82" s="200"/>
      <c r="B82" s="224" t="s">
        <v>207</v>
      </c>
      <c r="C82" s="75" t="s">
        <v>2</v>
      </c>
      <c r="D82" s="149"/>
      <c r="E82" s="31"/>
      <c r="F82" s="30">
        <f>F76</f>
        <v>433</v>
      </c>
      <c r="G82" s="30"/>
      <c r="H82" s="40" t="s">
        <v>55</v>
      </c>
    </row>
    <row r="83" spans="1:8" s="23" customFormat="1" ht="15.75">
      <c r="A83" s="200"/>
      <c r="B83" s="224" t="s">
        <v>72</v>
      </c>
      <c r="C83" s="75" t="s">
        <v>2</v>
      </c>
      <c r="D83" s="149">
        <v>3887</v>
      </c>
      <c r="E83" s="30">
        <v>70</v>
      </c>
      <c r="F83" s="31">
        <f t="shared" si="3"/>
        <v>2721</v>
      </c>
      <c r="G83" s="34" t="s">
        <v>4</v>
      </c>
      <c r="H83" s="33" t="s">
        <v>43</v>
      </c>
    </row>
    <row r="84" spans="1:8" s="23" customFormat="1" ht="15.75">
      <c r="A84" s="200"/>
      <c r="B84" s="224" t="s">
        <v>211</v>
      </c>
      <c r="C84" s="75" t="s">
        <v>2</v>
      </c>
      <c r="D84" s="149">
        <v>3443.6</v>
      </c>
      <c r="E84" s="30">
        <v>70</v>
      </c>
      <c r="F84" s="31">
        <f t="shared" si="3"/>
        <v>2411</v>
      </c>
      <c r="G84" s="34" t="s">
        <v>4</v>
      </c>
      <c r="H84" s="33" t="s">
        <v>44</v>
      </c>
    </row>
    <row r="85" spans="1:8" s="23" customFormat="1" ht="15.75">
      <c r="A85" s="187"/>
      <c r="B85" s="228" t="s">
        <v>224</v>
      </c>
      <c r="C85" s="269" t="s">
        <v>38</v>
      </c>
      <c r="D85" s="149" t="s">
        <v>125</v>
      </c>
      <c r="E85" s="74">
        <v>100</v>
      </c>
      <c r="F85" s="73" t="s">
        <v>125</v>
      </c>
      <c r="G85" s="75" t="s">
        <v>4</v>
      </c>
      <c r="H85" s="343" t="s">
        <v>359</v>
      </c>
    </row>
    <row r="86" spans="1:9" s="23" customFormat="1" ht="15.75">
      <c r="A86" s="187"/>
      <c r="B86" s="224" t="s">
        <v>223</v>
      </c>
      <c r="C86" s="75" t="s">
        <v>11</v>
      </c>
      <c r="D86" s="149">
        <v>3</v>
      </c>
      <c r="E86" s="76">
        <v>100</v>
      </c>
      <c r="F86" s="30">
        <v>3</v>
      </c>
      <c r="G86" s="30"/>
      <c r="H86" s="358"/>
      <c r="I86" s="23" t="s">
        <v>145</v>
      </c>
    </row>
    <row r="87" spans="1:8" s="23" customFormat="1" ht="15.75">
      <c r="A87" s="200"/>
      <c r="B87" s="224" t="s">
        <v>204</v>
      </c>
      <c r="C87" s="75" t="s">
        <v>2</v>
      </c>
      <c r="D87" s="149">
        <v>3443.6</v>
      </c>
      <c r="E87" s="30">
        <v>30</v>
      </c>
      <c r="F87" s="31">
        <f aca="true" t="shared" si="4" ref="F87:F92">ROUND((D87*E87%),0)</f>
        <v>1033</v>
      </c>
      <c r="G87" s="32"/>
      <c r="H87" s="33" t="s">
        <v>54</v>
      </c>
    </row>
    <row r="88" spans="1:8" s="23" customFormat="1" ht="16.5" customHeight="1">
      <c r="A88" s="200"/>
      <c r="B88" s="224" t="s">
        <v>268</v>
      </c>
      <c r="C88" s="75" t="s">
        <v>2</v>
      </c>
      <c r="D88" s="149">
        <v>3443.6</v>
      </c>
      <c r="E88" s="30">
        <v>30</v>
      </c>
      <c r="F88" s="31">
        <f t="shared" si="4"/>
        <v>1033</v>
      </c>
      <c r="G88" s="32"/>
      <c r="H88" s="33" t="s">
        <v>54</v>
      </c>
    </row>
    <row r="89" spans="1:8" s="23" customFormat="1" ht="15.75">
      <c r="A89" s="200"/>
      <c r="B89" s="176" t="s">
        <v>205</v>
      </c>
      <c r="C89" s="83" t="s">
        <v>2</v>
      </c>
      <c r="D89" s="149">
        <v>3443.6</v>
      </c>
      <c r="E89" s="30">
        <v>30</v>
      </c>
      <c r="F89" s="31">
        <f t="shared" si="4"/>
        <v>1033</v>
      </c>
      <c r="G89" s="43"/>
      <c r="H89" s="40" t="s">
        <v>55</v>
      </c>
    </row>
    <row r="90" spans="1:8" s="23" customFormat="1" ht="15.75">
      <c r="A90" s="200"/>
      <c r="B90" s="224" t="s">
        <v>363</v>
      </c>
      <c r="C90" s="75" t="s">
        <v>2</v>
      </c>
      <c r="D90" s="149">
        <f>21193.7+1886</f>
        <v>23079.7</v>
      </c>
      <c r="E90" s="30">
        <v>100</v>
      </c>
      <c r="F90" s="31">
        <f t="shared" si="4"/>
        <v>23080</v>
      </c>
      <c r="G90" s="32"/>
      <c r="H90" s="33" t="s">
        <v>380</v>
      </c>
    </row>
    <row r="91" spans="1:8" s="23" customFormat="1" ht="15.75">
      <c r="A91" s="200"/>
      <c r="B91" s="224" t="s">
        <v>363</v>
      </c>
      <c r="C91" s="75" t="s">
        <v>2</v>
      </c>
      <c r="D91" s="149">
        <f>21193.7+1886</f>
        <v>23079.7</v>
      </c>
      <c r="E91" s="30">
        <v>10</v>
      </c>
      <c r="F91" s="31">
        <f t="shared" si="4"/>
        <v>2308</v>
      </c>
      <c r="G91" s="32"/>
      <c r="H91" s="33" t="s">
        <v>360</v>
      </c>
    </row>
    <row r="92" spans="1:8" s="23" customFormat="1" ht="15.75" customHeight="1" thickBot="1">
      <c r="A92" s="201"/>
      <c r="B92" s="237" t="s">
        <v>212</v>
      </c>
      <c r="C92" s="197" t="s">
        <v>2</v>
      </c>
      <c r="D92" s="286">
        <f>D90</f>
        <v>23079.7</v>
      </c>
      <c r="E92" s="55">
        <v>80</v>
      </c>
      <c r="F92" s="56">
        <f t="shared" si="4"/>
        <v>18464</v>
      </c>
      <c r="G92" s="55"/>
      <c r="H92" s="58" t="s">
        <v>198</v>
      </c>
    </row>
    <row r="93" spans="1:8" s="23" customFormat="1" ht="15.75" customHeight="1" thickBot="1">
      <c r="A93" s="187"/>
      <c r="B93" s="229" t="s">
        <v>181</v>
      </c>
      <c r="C93" s="272" t="s">
        <v>182</v>
      </c>
      <c r="D93" s="284">
        <f>D92/10000</f>
        <v>2.30797</v>
      </c>
      <c r="E93" s="50">
        <f>E92</f>
        <v>80</v>
      </c>
      <c r="F93" s="65">
        <f>D93*E93%</f>
        <v>1.8463760000000002</v>
      </c>
      <c r="G93" s="50"/>
      <c r="H93" s="52" t="s">
        <v>198</v>
      </c>
    </row>
    <row r="94" spans="1:8" s="23" customFormat="1" ht="20.25" customHeight="1" thickBot="1">
      <c r="A94" s="167" t="s">
        <v>10</v>
      </c>
      <c r="B94" s="311" t="s">
        <v>453</v>
      </c>
      <c r="C94" s="217"/>
      <c r="D94" s="282"/>
      <c r="E94" s="155"/>
      <c r="F94" s="155"/>
      <c r="G94" s="155"/>
      <c r="H94" s="156"/>
    </row>
    <row r="95" spans="1:8" s="23" customFormat="1" ht="31.5" customHeight="1">
      <c r="A95" s="187"/>
      <c r="B95" s="305" t="s">
        <v>156</v>
      </c>
      <c r="C95" s="83" t="s">
        <v>2</v>
      </c>
      <c r="D95" s="150">
        <f>10061.6+174.65+27483.3+5873.4+765+1759+1043.7+1077.2+4920.9+847+720.3+232.56</f>
        <v>54958.61</v>
      </c>
      <c r="E95" s="81">
        <v>60</v>
      </c>
      <c r="F95" s="121">
        <f>ROUND((D95*E95%),0)</f>
        <v>32975</v>
      </c>
      <c r="G95" s="328"/>
      <c r="H95" s="47" t="s">
        <v>43</v>
      </c>
    </row>
    <row r="96" spans="1:8" s="23" customFormat="1" ht="17.25" customHeight="1">
      <c r="A96" s="187"/>
      <c r="B96" s="170" t="s">
        <v>353</v>
      </c>
      <c r="C96" s="75" t="s">
        <v>2</v>
      </c>
      <c r="D96" s="149">
        <v>1968</v>
      </c>
      <c r="E96" s="30">
        <v>80</v>
      </c>
      <c r="F96" s="31">
        <f>ROUND((D96*E96%),0)</f>
        <v>1574</v>
      </c>
      <c r="G96" s="32"/>
      <c r="H96" s="33" t="s">
        <v>337</v>
      </c>
    </row>
    <row r="97" spans="1:8" s="23" customFormat="1" ht="15.75">
      <c r="A97" s="187"/>
      <c r="B97" s="224" t="s">
        <v>206</v>
      </c>
      <c r="C97" s="75" t="s">
        <v>379</v>
      </c>
      <c r="D97" s="149"/>
      <c r="E97" s="30"/>
      <c r="F97" s="30">
        <v>1910</v>
      </c>
      <c r="G97" s="30"/>
      <c r="H97" s="33"/>
    </row>
    <row r="98" spans="1:8" s="23" customFormat="1" ht="15.75">
      <c r="A98" s="195"/>
      <c r="B98" s="231" t="s">
        <v>216</v>
      </c>
      <c r="C98" s="75" t="s">
        <v>2</v>
      </c>
      <c r="D98" s="73" t="s">
        <v>316</v>
      </c>
      <c r="E98" s="34"/>
      <c r="F98" s="30">
        <f>F97*0.6</f>
        <v>1146</v>
      </c>
      <c r="G98" s="34" t="s">
        <v>4</v>
      </c>
      <c r="H98" s="39" t="s">
        <v>44</v>
      </c>
    </row>
    <row r="99" spans="1:8" s="23" customFormat="1" ht="15.75">
      <c r="A99" s="195"/>
      <c r="B99" s="231" t="s">
        <v>231</v>
      </c>
      <c r="C99" s="75" t="s">
        <v>2</v>
      </c>
      <c r="D99" s="149">
        <v>19650.2</v>
      </c>
      <c r="E99" s="30">
        <v>60</v>
      </c>
      <c r="F99" s="31">
        <f aca="true" t="shared" si="5" ref="F99:F104">ROUND((D99*E99%),0)</f>
        <v>11790</v>
      </c>
      <c r="G99" s="53"/>
      <c r="H99" s="39" t="s">
        <v>44</v>
      </c>
    </row>
    <row r="100" spans="1:8" s="23" customFormat="1" ht="15.75">
      <c r="A100" s="195"/>
      <c r="B100" s="231" t="s">
        <v>226</v>
      </c>
      <c r="C100" s="75" t="s">
        <v>2</v>
      </c>
      <c r="D100" s="149">
        <v>219</v>
      </c>
      <c r="E100" s="30">
        <v>100</v>
      </c>
      <c r="F100" s="31">
        <f t="shared" si="5"/>
        <v>219</v>
      </c>
      <c r="G100" s="34" t="s">
        <v>4</v>
      </c>
      <c r="H100" s="39" t="s">
        <v>44</v>
      </c>
    </row>
    <row r="101" spans="1:8" s="23" customFormat="1" ht="15.75">
      <c r="A101" s="195"/>
      <c r="B101" s="231" t="s">
        <v>230</v>
      </c>
      <c r="C101" s="75" t="s">
        <v>2</v>
      </c>
      <c r="D101" s="149">
        <v>1377</v>
      </c>
      <c r="E101" s="30">
        <v>100</v>
      </c>
      <c r="F101" s="31">
        <f t="shared" si="5"/>
        <v>1377</v>
      </c>
      <c r="G101" s="34" t="s">
        <v>4</v>
      </c>
      <c r="H101" s="39" t="s">
        <v>44</v>
      </c>
    </row>
    <row r="102" spans="1:8" s="23" customFormat="1" ht="15.75">
      <c r="A102" s="195"/>
      <c r="B102" s="231" t="s">
        <v>221</v>
      </c>
      <c r="C102" s="75" t="s">
        <v>2</v>
      </c>
      <c r="D102" s="149">
        <v>219</v>
      </c>
      <c r="E102" s="30">
        <v>80</v>
      </c>
      <c r="F102" s="31">
        <f t="shared" si="5"/>
        <v>175</v>
      </c>
      <c r="G102" s="30"/>
      <c r="H102" s="39" t="s">
        <v>54</v>
      </c>
    </row>
    <row r="103" spans="1:8" s="23" customFormat="1" ht="15.75">
      <c r="A103" s="195"/>
      <c r="B103" s="231" t="s">
        <v>222</v>
      </c>
      <c r="C103" s="75" t="s">
        <v>2</v>
      </c>
      <c r="D103" s="149">
        <v>219</v>
      </c>
      <c r="E103" s="30">
        <v>100</v>
      </c>
      <c r="F103" s="31">
        <f t="shared" si="5"/>
        <v>219</v>
      </c>
      <c r="G103" s="30"/>
      <c r="H103" s="39" t="s">
        <v>54</v>
      </c>
    </row>
    <row r="104" spans="1:8" s="23" customFormat="1" ht="15.75">
      <c r="A104" s="195"/>
      <c r="B104" s="231" t="s">
        <v>207</v>
      </c>
      <c r="C104" s="272" t="s">
        <v>2</v>
      </c>
      <c r="D104" s="149">
        <v>19650.2</v>
      </c>
      <c r="E104" s="51">
        <v>6</v>
      </c>
      <c r="F104" s="31">
        <f t="shared" si="5"/>
        <v>1179</v>
      </c>
      <c r="G104" s="50"/>
      <c r="H104" s="52" t="s">
        <v>55</v>
      </c>
    </row>
    <row r="105" spans="1:8" s="23" customFormat="1" ht="15.75">
      <c r="A105" s="195"/>
      <c r="B105" s="231" t="s">
        <v>382</v>
      </c>
      <c r="C105" s="75" t="s">
        <v>157</v>
      </c>
      <c r="D105" s="149" t="s">
        <v>285</v>
      </c>
      <c r="E105" s="30">
        <v>20</v>
      </c>
      <c r="F105" s="30">
        <v>4.5</v>
      </c>
      <c r="G105" s="30"/>
      <c r="H105" s="39" t="s">
        <v>55</v>
      </c>
    </row>
    <row r="106" spans="1:8" s="23" customFormat="1" ht="15.75">
      <c r="A106" s="195"/>
      <c r="B106" s="239" t="s">
        <v>224</v>
      </c>
      <c r="C106" s="83" t="s">
        <v>124</v>
      </c>
      <c r="D106" s="150" t="s">
        <v>352</v>
      </c>
      <c r="E106" s="43">
        <v>100</v>
      </c>
      <c r="F106" s="78" t="s">
        <v>352</v>
      </c>
      <c r="G106" s="64" t="s">
        <v>4</v>
      </c>
      <c r="H106" s="344" t="s">
        <v>359</v>
      </c>
    </row>
    <row r="107" spans="1:8" s="23" customFormat="1" ht="15.75">
      <c r="A107" s="195"/>
      <c r="B107" s="231" t="s">
        <v>223</v>
      </c>
      <c r="C107" s="75" t="s">
        <v>11</v>
      </c>
      <c r="D107" s="149">
        <v>27</v>
      </c>
      <c r="E107" s="30">
        <v>100</v>
      </c>
      <c r="F107" s="30">
        <v>27</v>
      </c>
      <c r="G107" s="30"/>
      <c r="H107" s="358"/>
    </row>
    <row r="108" spans="1:8" s="23" customFormat="1" ht="15.75">
      <c r="A108" s="195"/>
      <c r="B108" s="231" t="s">
        <v>346</v>
      </c>
      <c r="C108" s="83" t="s">
        <v>2</v>
      </c>
      <c r="D108" s="150">
        <v>1043.7</v>
      </c>
      <c r="E108" s="43">
        <v>70</v>
      </c>
      <c r="F108" s="65">
        <f>1043.7*70%</f>
        <v>730.59</v>
      </c>
      <c r="G108" s="43"/>
      <c r="H108" s="40" t="s">
        <v>48</v>
      </c>
    </row>
    <row r="109" spans="1:8" s="23" customFormat="1" ht="15.75">
      <c r="A109" s="195"/>
      <c r="B109" s="231" t="s">
        <v>228</v>
      </c>
      <c r="C109" s="75" t="s">
        <v>2</v>
      </c>
      <c r="D109" s="149">
        <f>11+70.31+6+43.14</f>
        <v>130.45</v>
      </c>
      <c r="E109" s="30">
        <v>100</v>
      </c>
      <c r="F109" s="31">
        <f aca="true" t="shared" si="6" ref="F109:F119">ROUND((D109*E109%),0)</f>
        <v>130</v>
      </c>
      <c r="G109" s="30"/>
      <c r="H109" s="33" t="s">
        <v>43</v>
      </c>
    </row>
    <row r="110" spans="1:8" s="23" customFormat="1" ht="15.75">
      <c r="A110" s="187"/>
      <c r="B110" s="224" t="s">
        <v>211</v>
      </c>
      <c r="C110" s="75" t="s">
        <v>2</v>
      </c>
      <c r="D110" s="149">
        <f>10061.6+174.65+1127.8+847.2+677.16+232.56</f>
        <v>13120.97</v>
      </c>
      <c r="E110" s="30">
        <v>60</v>
      </c>
      <c r="F110" s="31">
        <f t="shared" si="6"/>
        <v>7873</v>
      </c>
      <c r="G110" s="34" t="s">
        <v>4</v>
      </c>
      <c r="H110" s="33" t="s">
        <v>44</v>
      </c>
    </row>
    <row r="111" spans="1:8" s="23" customFormat="1" ht="15.75">
      <c r="A111" s="187"/>
      <c r="B111" s="224" t="s">
        <v>204</v>
      </c>
      <c r="C111" s="83" t="s">
        <v>2</v>
      </c>
      <c r="D111" s="150">
        <f>D110</f>
        <v>13120.97</v>
      </c>
      <c r="E111" s="43">
        <v>30</v>
      </c>
      <c r="F111" s="31">
        <f t="shared" si="6"/>
        <v>3936</v>
      </c>
      <c r="G111" s="79"/>
      <c r="H111" s="40" t="s">
        <v>54</v>
      </c>
    </row>
    <row r="112" spans="1:8" s="23" customFormat="1" ht="15.75">
      <c r="A112" s="187"/>
      <c r="B112" s="224" t="s">
        <v>274</v>
      </c>
      <c r="C112" s="75" t="s">
        <v>2</v>
      </c>
      <c r="D112" s="149">
        <f>87.31+43.14</f>
        <v>130.45</v>
      </c>
      <c r="E112" s="30">
        <v>100</v>
      </c>
      <c r="F112" s="31">
        <f t="shared" si="6"/>
        <v>130</v>
      </c>
      <c r="G112" s="30"/>
      <c r="H112" s="40" t="s">
        <v>54</v>
      </c>
    </row>
    <row r="113" spans="1:8" s="23" customFormat="1" ht="15.75">
      <c r="A113" s="187"/>
      <c r="B113" s="176" t="s">
        <v>268</v>
      </c>
      <c r="C113" s="83"/>
      <c r="D113" s="150">
        <f>D110</f>
        <v>13120.97</v>
      </c>
      <c r="E113" s="43">
        <v>30</v>
      </c>
      <c r="F113" s="31">
        <f t="shared" si="6"/>
        <v>3936</v>
      </c>
      <c r="G113" s="79"/>
      <c r="H113" s="40" t="s">
        <v>54</v>
      </c>
    </row>
    <row r="114" spans="1:8" s="23" customFormat="1" ht="15.75">
      <c r="A114" s="187"/>
      <c r="B114" s="227" t="s">
        <v>283</v>
      </c>
      <c r="C114" s="75" t="s">
        <v>2</v>
      </c>
      <c r="D114" s="150">
        <v>18</v>
      </c>
      <c r="E114" s="30">
        <v>100</v>
      </c>
      <c r="F114" s="31">
        <f t="shared" si="6"/>
        <v>18</v>
      </c>
      <c r="G114" s="34" t="s">
        <v>4</v>
      </c>
      <c r="H114" s="47" t="s">
        <v>54</v>
      </c>
    </row>
    <row r="115" spans="1:8" s="23" customFormat="1" ht="15.75">
      <c r="A115" s="187"/>
      <c r="B115" s="224" t="s">
        <v>205</v>
      </c>
      <c r="C115" s="75" t="s">
        <v>2</v>
      </c>
      <c r="D115" s="149">
        <f>D110</f>
        <v>13120.97</v>
      </c>
      <c r="E115" s="30">
        <v>30</v>
      </c>
      <c r="F115" s="31">
        <f t="shared" si="6"/>
        <v>3936</v>
      </c>
      <c r="G115" s="30"/>
      <c r="H115" s="33" t="s">
        <v>55</v>
      </c>
    </row>
    <row r="116" spans="1:8" s="23" customFormat="1" ht="15.75">
      <c r="A116" s="187"/>
      <c r="B116" s="224" t="s">
        <v>294</v>
      </c>
      <c r="C116" s="75" t="s">
        <v>2</v>
      </c>
      <c r="D116" s="149">
        <f>D109</f>
        <v>130.45</v>
      </c>
      <c r="E116" s="30">
        <v>100</v>
      </c>
      <c r="F116" s="31">
        <f t="shared" si="6"/>
        <v>130</v>
      </c>
      <c r="G116" s="30"/>
      <c r="H116" s="33" t="s">
        <v>55</v>
      </c>
    </row>
    <row r="117" spans="1:8" s="23" customFormat="1" ht="15.75">
      <c r="A117" s="187"/>
      <c r="B117" s="224" t="s">
        <v>363</v>
      </c>
      <c r="C117" s="83" t="s">
        <v>2</v>
      </c>
      <c r="D117" s="150">
        <f>27483.3+5873.4+4920.9</f>
        <v>38277.6</v>
      </c>
      <c r="E117" s="30">
        <v>50</v>
      </c>
      <c r="F117" s="31">
        <f t="shared" si="6"/>
        <v>19139</v>
      </c>
      <c r="G117" s="32"/>
      <c r="H117" s="33" t="s">
        <v>361</v>
      </c>
    </row>
    <row r="118" spans="1:8" s="23" customFormat="1" ht="15.75">
      <c r="A118" s="195"/>
      <c r="B118" s="231" t="s">
        <v>363</v>
      </c>
      <c r="C118" s="75" t="s">
        <v>2</v>
      </c>
      <c r="D118" s="149">
        <f>27483.3+5873.4+4920.9</f>
        <v>38277.6</v>
      </c>
      <c r="E118" s="30">
        <v>20</v>
      </c>
      <c r="F118" s="31">
        <f t="shared" si="6"/>
        <v>7656</v>
      </c>
      <c r="G118" s="32"/>
      <c r="H118" s="39" t="s">
        <v>360</v>
      </c>
    </row>
    <row r="119" spans="1:8" s="23" customFormat="1" ht="15" customHeight="1">
      <c r="A119" s="195"/>
      <c r="B119" s="231" t="s">
        <v>229</v>
      </c>
      <c r="C119" s="75" t="s">
        <v>2</v>
      </c>
      <c r="D119" s="149">
        <f>27483.3+5873.4+4920.9</f>
        <v>38277.6</v>
      </c>
      <c r="E119" s="30">
        <v>60</v>
      </c>
      <c r="F119" s="31">
        <f t="shared" si="6"/>
        <v>22967</v>
      </c>
      <c r="G119" s="30"/>
      <c r="H119" s="39" t="s">
        <v>198</v>
      </c>
    </row>
    <row r="120" spans="1:8" s="23" customFormat="1" ht="15" customHeight="1" thickBot="1">
      <c r="A120" s="188"/>
      <c r="B120" s="339" t="s">
        <v>181</v>
      </c>
      <c r="C120" s="273" t="s">
        <v>182</v>
      </c>
      <c r="D120" s="288">
        <f>D119/10000</f>
        <v>3.82776</v>
      </c>
      <c r="E120" s="69">
        <f>E119</f>
        <v>60</v>
      </c>
      <c r="F120" s="330">
        <f>D120*E120%</f>
        <v>2.296656</v>
      </c>
      <c r="G120" s="69"/>
      <c r="H120" s="70" t="s">
        <v>198</v>
      </c>
    </row>
    <row r="121" spans="1:8" s="23" customFormat="1" ht="15" customHeight="1" thickBot="1">
      <c r="A121" s="167" t="s">
        <v>12</v>
      </c>
      <c r="B121" s="264" t="s">
        <v>454</v>
      </c>
      <c r="C121" s="217"/>
      <c r="D121" s="282"/>
      <c r="E121" s="155"/>
      <c r="F121" s="155"/>
      <c r="G121" s="155"/>
      <c r="H121" s="156"/>
    </row>
    <row r="122" spans="1:8" s="23" customFormat="1" ht="15.75">
      <c r="A122" s="187"/>
      <c r="B122" s="234" t="s">
        <v>71</v>
      </c>
      <c r="C122" s="83" t="s">
        <v>2</v>
      </c>
      <c r="D122" s="150">
        <f>9161+960.7</f>
        <v>10121.7</v>
      </c>
      <c r="E122" s="43">
        <v>80</v>
      </c>
      <c r="F122" s="63">
        <f>ROUND((D122*E122%),0)</f>
        <v>8097</v>
      </c>
      <c r="G122" s="79"/>
      <c r="H122" s="47" t="s">
        <v>49</v>
      </c>
    </row>
    <row r="123" spans="1:8" s="23" customFormat="1" ht="12" customHeight="1">
      <c r="A123" s="187"/>
      <c r="B123" s="234" t="s">
        <v>206</v>
      </c>
      <c r="C123" s="83" t="s">
        <v>379</v>
      </c>
      <c r="D123" s="150"/>
      <c r="E123" s="30"/>
      <c r="F123" s="43">
        <v>461</v>
      </c>
      <c r="G123" s="43"/>
      <c r="H123" s="40"/>
    </row>
    <row r="124" spans="1:8" s="23" customFormat="1" ht="15.75">
      <c r="A124" s="187"/>
      <c r="B124" s="228" t="s">
        <v>216</v>
      </c>
      <c r="C124" s="83" t="s">
        <v>2</v>
      </c>
      <c r="D124" s="73" t="s">
        <v>317</v>
      </c>
      <c r="E124" s="34"/>
      <c r="F124" s="30">
        <v>277</v>
      </c>
      <c r="G124" s="34" t="s">
        <v>5</v>
      </c>
      <c r="H124" s="47" t="s">
        <v>383</v>
      </c>
    </row>
    <row r="125" spans="1:8" s="23" customFormat="1" ht="15.75">
      <c r="A125" s="195"/>
      <c r="B125" s="231" t="s">
        <v>231</v>
      </c>
      <c r="C125" s="75" t="s">
        <v>2</v>
      </c>
      <c r="D125" s="150">
        <v>4842.8</v>
      </c>
      <c r="E125" s="30">
        <v>60</v>
      </c>
      <c r="F125" s="31">
        <f>ROUND((D125*E125%),0)</f>
        <v>2906</v>
      </c>
      <c r="G125" s="38"/>
      <c r="H125" s="47" t="s">
        <v>44</v>
      </c>
    </row>
    <row r="126" spans="1:8" s="23" customFormat="1" ht="15.75">
      <c r="A126" s="195"/>
      <c r="B126" s="231" t="s">
        <v>60</v>
      </c>
      <c r="C126" s="75" t="s">
        <v>2</v>
      </c>
      <c r="D126" s="149">
        <v>463</v>
      </c>
      <c r="E126" s="30">
        <v>100</v>
      </c>
      <c r="F126" s="31">
        <f>ROUND((D126*E126%),0)</f>
        <v>463</v>
      </c>
      <c r="G126" s="34" t="s">
        <v>247</v>
      </c>
      <c r="H126" s="47" t="s">
        <v>7</v>
      </c>
    </row>
    <row r="127" spans="1:8" s="23" customFormat="1" ht="15.75">
      <c r="A127" s="195"/>
      <c r="B127" s="231" t="s">
        <v>207</v>
      </c>
      <c r="C127" s="75" t="s">
        <v>2</v>
      </c>
      <c r="D127" s="150"/>
      <c r="E127" s="31"/>
      <c r="F127" s="30">
        <f>F124</f>
        <v>277</v>
      </c>
      <c r="G127" s="30"/>
      <c r="H127" s="33" t="s">
        <v>55</v>
      </c>
    </row>
    <row r="128" spans="1:8" s="23" customFormat="1" ht="15.75">
      <c r="A128" s="195"/>
      <c r="B128" s="231" t="s">
        <v>382</v>
      </c>
      <c r="C128" s="75" t="s">
        <v>157</v>
      </c>
      <c r="D128" s="150" t="s">
        <v>158</v>
      </c>
      <c r="E128" s="30">
        <v>20</v>
      </c>
      <c r="F128" s="30">
        <v>1.17</v>
      </c>
      <c r="G128" s="30"/>
      <c r="H128" s="33" t="s">
        <v>55</v>
      </c>
    </row>
    <row r="129" spans="1:8" s="23" customFormat="1" ht="15.75">
      <c r="A129" s="195"/>
      <c r="B129" s="231" t="s">
        <v>224</v>
      </c>
      <c r="C129" s="270" t="s">
        <v>38</v>
      </c>
      <c r="D129" s="150" t="s">
        <v>126</v>
      </c>
      <c r="E129" s="81">
        <v>100</v>
      </c>
      <c r="F129" s="82" t="s">
        <v>125</v>
      </c>
      <c r="G129" s="83" t="s">
        <v>4</v>
      </c>
      <c r="H129" s="343" t="s">
        <v>359</v>
      </c>
    </row>
    <row r="130" spans="1:8" s="23" customFormat="1" ht="17.25" customHeight="1">
      <c r="A130" s="195"/>
      <c r="B130" s="231" t="s">
        <v>223</v>
      </c>
      <c r="C130" s="75" t="s">
        <v>11</v>
      </c>
      <c r="D130" s="149">
        <v>1</v>
      </c>
      <c r="E130" s="30">
        <v>100</v>
      </c>
      <c r="F130" s="30">
        <v>1</v>
      </c>
      <c r="G130" s="30"/>
      <c r="H130" s="358"/>
    </row>
    <row r="131" spans="1:8" s="23" customFormat="1" ht="15.75">
      <c r="A131" s="187"/>
      <c r="B131" s="234" t="s">
        <v>211</v>
      </c>
      <c r="C131" s="83" t="s">
        <v>2</v>
      </c>
      <c r="D131" s="150">
        <v>960.7</v>
      </c>
      <c r="E131" s="30">
        <v>40</v>
      </c>
      <c r="F131" s="31">
        <f aca="true" t="shared" si="7" ref="F131:F139">ROUND((D131*E131%),0)</f>
        <v>384</v>
      </c>
      <c r="G131" s="34" t="s">
        <v>5</v>
      </c>
      <c r="H131" s="33" t="s">
        <v>44</v>
      </c>
    </row>
    <row r="132" spans="1:8" s="23" customFormat="1" ht="15.75">
      <c r="A132" s="187"/>
      <c r="B132" s="228" t="s">
        <v>204</v>
      </c>
      <c r="C132" s="75" t="s">
        <v>2</v>
      </c>
      <c r="D132" s="150">
        <v>960.7</v>
      </c>
      <c r="E132" s="30">
        <v>30</v>
      </c>
      <c r="F132" s="31">
        <f t="shared" si="7"/>
        <v>288</v>
      </c>
      <c r="G132" s="32"/>
      <c r="H132" s="33" t="s">
        <v>54</v>
      </c>
    </row>
    <row r="133" spans="1:8" s="23" customFormat="1" ht="15.75">
      <c r="A133" s="187"/>
      <c r="B133" s="228" t="s">
        <v>268</v>
      </c>
      <c r="C133" s="75" t="s">
        <v>2</v>
      </c>
      <c r="D133" s="150">
        <v>960.7</v>
      </c>
      <c r="E133" s="30">
        <v>30</v>
      </c>
      <c r="F133" s="31">
        <f t="shared" si="7"/>
        <v>288</v>
      </c>
      <c r="G133" s="32"/>
      <c r="H133" s="33" t="s">
        <v>54</v>
      </c>
    </row>
    <row r="134" spans="1:8" s="23" customFormat="1" ht="15.75">
      <c r="A134" s="187"/>
      <c r="B134" s="228" t="s">
        <v>205</v>
      </c>
      <c r="C134" s="75" t="s">
        <v>2</v>
      </c>
      <c r="D134" s="150">
        <v>960.7</v>
      </c>
      <c r="E134" s="30">
        <v>30</v>
      </c>
      <c r="F134" s="31">
        <f t="shared" si="7"/>
        <v>288</v>
      </c>
      <c r="G134" s="30"/>
      <c r="H134" s="47" t="s">
        <v>384</v>
      </c>
    </row>
    <row r="135" spans="1:8" s="23" customFormat="1" ht="15.75">
      <c r="A135" s="187"/>
      <c r="B135" s="224" t="s">
        <v>363</v>
      </c>
      <c r="C135" s="75" t="s">
        <v>2</v>
      </c>
      <c r="D135" s="149">
        <v>9161</v>
      </c>
      <c r="E135" s="30">
        <v>80</v>
      </c>
      <c r="F135" s="31">
        <f t="shared" si="7"/>
        <v>7329</v>
      </c>
      <c r="G135" s="32"/>
      <c r="H135" s="33" t="s">
        <v>380</v>
      </c>
    </row>
    <row r="136" spans="1:8" s="23" customFormat="1" ht="15.75">
      <c r="A136" s="187"/>
      <c r="B136" s="224" t="s">
        <v>363</v>
      </c>
      <c r="C136" s="75" t="s">
        <v>2</v>
      </c>
      <c r="D136" s="149">
        <v>9161</v>
      </c>
      <c r="E136" s="30">
        <v>10</v>
      </c>
      <c r="F136" s="31">
        <f t="shared" si="7"/>
        <v>916</v>
      </c>
      <c r="G136" s="32"/>
      <c r="H136" s="33" t="s">
        <v>360</v>
      </c>
    </row>
    <row r="137" spans="1:8" s="23" customFormat="1" ht="16.5" thickBot="1">
      <c r="A137" s="188"/>
      <c r="B137" s="240" t="s">
        <v>212</v>
      </c>
      <c r="C137" s="273" t="s">
        <v>2</v>
      </c>
      <c r="D137" s="288">
        <v>9161</v>
      </c>
      <c r="E137" s="55">
        <v>80</v>
      </c>
      <c r="F137" s="56">
        <f t="shared" si="7"/>
        <v>7329</v>
      </c>
      <c r="G137" s="69"/>
      <c r="H137" s="84" t="s">
        <v>198</v>
      </c>
    </row>
    <row r="138" spans="1:8" s="23" customFormat="1" ht="15.75" customHeight="1" thickBot="1">
      <c r="A138" s="167" t="s">
        <v>13</v>
      </c>
      <c r="B138" s="264" t="s">
        <v>455</v>
      </c>
      <c r="C138" s="217"/>
      <c r="D138" s="282"/>
      <c r="E138" s="155"/>
      <c r="F138" s="155"/>
      <c r="G138" s="155"/>
      <c r="H138" s="156"/>
    </row>
    <row r="139" spans="1:8" s="23" customFormat="1" ht="15.75">
      <c r="A139" s="187"/>
      <c r="B139" s="230" t="s">
        <v>62</v>
      </c>
      <c r="C139" s="83" t="s">
        <v>2</v>
      </c>
      <c r="D139" s="150">
        <f>7664.43+3056.9</f>
        <v>10721.33</v>
      </c>
      <c r="E139" s="43">
        <v>80</v>
      </c>
      <c r="F139" s="63">
        <f t="shared" si="7"/>
        <v>8577</v>
      </c>
      <c r="G139" s="92"/>
      <c r="H139" s="47" t="s">
        <v>49</v>
      </c>
    </row>
    <row r="140" spans="1:8" s="23" customFormat="1" ht="13.5" customHeight="1">
      <c r="A140" s="187"/>
      <c r="B140" s="224" t="s">
        <v>206</v>
      </c>
      <c r="C140" s="75" t="s">
        <v>379</v>
      </c>
      <c r="D140" s="149" t="s">
        <v>130</v>
      </c>
      <c r="E140" s="30"/>
      <c r="F140" s="30">
        <f>610*2</f>
        <v>1220</v>
      </c>
      <c r="G140" s="30"/>
      <c r="H140" s="33"/>
    </row>
    <row r="141" spans="1:8" s="23" customFormat="1" ht="15.75">
      <c r="A141" s="187"/>
      <c r="B141" s="224" t="s">
        <v>216</v>
      </c>
      <c r="C141" s="83" t="s">
        <v>2</v>
      </c>
      <c r="D141" s="73" t="s">
        <v>318</v>
      </c>
      <c r="E141" s="34"/>
      <c r="F141" s="43">
        <f>F140*0.6</f>
        <v>732</v>
      </c>
      <c r="G141" s="34" t="s">
        <v>247</v>
      </c>
      <c r="H141" s="47" t="s">
        <v>7</v>
      </c>
    </row>
    <row r="142" spans="1:8" s="23" customFormat="1" ht="15.75">
      <c r="A142" s="187"/>
      <c r="B142" s="224" t="s">
        <v>231</v>
      </c>
      <c r="C142" s="83" t="s">
        <v>2</v>
      </c>
      <c r="D142" s="150">
        <v>10136.6</v>
      </c>
      <c r="E142" s="30">
        <v>60</v>
      </c>
      <c r="F142" s="31">
        <f>ROUND((D142*E142%),0)</f>
        <v>6082</v>
      </c>
      <c r="G142" s="53"/>
      <c r="H142" s="47" t="s">
        <v>7</v>
      </c>
    </row>
    <row r="143" spans="1:8" s="23" customFormat="1" ht="15.75">
      <c r="A143" s="187"/>
      <c r="B143" s="224" t="s">
        <v>69</v>
      </c>
      <c r="C143" s="75" t="s">
        <v>2</v>
      </c>
      <c r="D143" s="149">
        <v>238</v>
      </c>
      <c r="E143" s="30">
        <v>100</v>
      </c>
      <c r="F143" s="31">
        <f>ROUND((D143*E143%),0)</f>
        <v>238</v>
      </c>
      <c r="G143" s="34" t="s">
        <v>247</v>
      </c>
      <c r="H143" s="47" t="s">
        <v>48</v>
      </c>
    </row>
    <row r="144" spans="1:8" s="23" customFormat="1" ht="15.75">
      <c r="A144" s="187"/>
      <c r="B144" s="224" t="s">
        <v>230</v>
      </c>
      <c r="C144" s="75" t="s">
        <v>2</v>
      </c>
      <c r="D144" s="149">
        <v>376</v>
      </c>
      <c r="E144" s="30">
        <v>100</v>
      </c>
      <c r="F144" s="31">
        <f>ROUND((D144*E144%),0)</f>
        <v>376</v>
      </c>
      <c r="G144" s="34" t="s">
        <v>247</v>
      </c>
      <c r="H144" s="47" t="s">
        <v>48</v>
      </c>
    </row>
    <row r="145" spans="1:8" s="23" customFormat="1" ht="15.75">
      <c r="A145" s="187"/>
      <c r="B145" s="224" t="s">
        <v>221</v>
      </c>
      <c r="C145" s="75" t="s">
        <v>2</v>
      </c>
      <c r="D145" s="149">
        <v>238</v>
      </c>
      <c r="E145" s="30">
        <v>100</v>
      </c>
      <c r="F145" s="31">
        <f>ROUND((D145*E145%),0)</f>
        <v>238</v>
      </c>
      <c r="G145" s="30"/>
      <c r="H145" s="33" t="s">
        <v>55</v>
      </c>
    </row>
    <row r="146" spans="1:8" s="23" customFormat="1" ht="15.75">
      <c r="A146" s="187"/>
      <c r="B146" s="224" t="s">
        <v>222</v>
      </c>
      <c r="C146" s="75" t="s">
        <v>2</v>
      </c>
      <c r="D146" s="149">
        <v>238</v>
      </c>
      <c r="E146" s="30">
        <v>100</v>
      </c>
      <c r="F146" s="31">
        <f>ROUND((D146*E146%),0)</f>
        <v>238</v>
      </c>
      <c r="G146" s="30"/>
      <c r="H146" s="33" t="s">
        <v>54</v>
      </c>
    </row>
    <row r="147" spans="1:8" s="23" customFormat="1" ht="15.75">
      <c r="A147" s="187"/>
      <c r="B147" s="224" t="s">
        <v>207</v>
      </c>
      <c r="C147" s="75" t="s">
        <v>2</v>
      </c>
      <c r="D147" s="149"/>
      <c r="E147" s="31"/>
      <c r="F147" s="30">
        <f>F141</f>
        <v>732</v>
      </c>
      <c r="G147" s="30"/>
      <c r="H147" s="33" t="s">
        <v>55</v>
      </c>
    </row>
    <row r="148" spans="1:8" s="23" customFormat="1" ht="15.75">
      <c r="A148" s="187"/>
      <c r="B148" s="231" t="s">
        <v>382</v>
      </c>
      <c r="C148" s="75" t="s">
        <v>157</v>
      </c>
      <c r="D148" s="149" t="s">
        <v>164</v>
      </c>
      <c r="E148" s="30">
        <v>20</v>
      </c>
      <c r="F148" s="30">
        <v>2.38</v>
      </c>
      <c r="G148" s="30"/>
      <c r="H148" s="33" t="s">
        <v>55</v>
      </c>
    </row>
    <row r="149" spans="1:8" s="23" customFormat="1" ht="47.25">
      <c r="A149" s="195"/>
      <c r="B149" s="231" t="s">
        <v>224</v>
      </c>
      <c r="C149" s="270" t="s">
        <v>38</v>
      </c>
      <c r="D149" s="150" t="s">
        <v>186</v>
      </c>
      <c r="E149" s="81">
        <v>100</v>
      </c>
      <c r="F149" s="85" t="str">
        <f>D149</f>
        <v>1/4,8</v>
      </c>
      <c r="G149" s="83" t="s">
        <v>4</v>
      </c>
      <c r="H149" s="86" t="s">
        <v>359</v>
      </c>
    </row>
    <row r="150" spans="1:8" s="23" customFormat="1" ht="15.75">
      <c r="A150" s="187"/>
      <c r="B150" s="224" t="s">
        <v>211</v>
      </c>
      <c r="C150" s="75" t="s">
        <v>2</v>
      </c>
      <c r="D150" s="149">
        <v>3056.9</v>
      </c>
      <c r="E150" s="30">
        <v>50</v>
      </c>
      <c r="F150" s="31">
        <f aca="true" t="shared" si="8" ref="F150:F159">ROUND((D150*E150%),0)</f>
        <v>1528</v>
      </c>
      <c r="G150" s="34" t="s">
        <v>292</v>
      </c>
      <c r="H150" s="47" t="s">
        <v>7</v>
      </c>
    </row>
    <row r="151" spans="1:8" s="23" customFormat="1" ht="15.75">
      <c r="A151" s="187"/>
      <c r="B151" s="224" t="s">
        <v>204</v>
      </c>
      <c r="C151" s="75" t="s">
        <v>2</v>
      </c>
      <c r="D151" s="149">
        <v>3056.9</v>
      </c>
      <c r="E151" s="30">
        <v>30</v>
      </c>
      <c r="F151" s="31">
        <f t="shared" si="8"/>
        <v>917</v>
      </c>
      <c r="G151" s="32"/>
      <c r="H151" s="33" t="s">
        <v>54</v>
      </c>
    </row>
    <row r="152" spans="1:8" s="23" customFormat="1" ht="18" customHeight="1">
      <c r="A152" s="187"/>
      <c r="B152" s="224" t="s">
        <v>268</v>
      </c>
      <c r="C152" s="75" t="s">
        <v>2</v>
      </c>
      <c r="D152" s="149">
        <v>3056.9</v>
      </c>
      <c r="E152" s="30">
        <v>30</v>
      </c>
      <c r="F152" s="31">
        <f t="shared" si="8"/>
        <v>917</v>
      </c>
      <c r="G152" s="32"/>
      <c r="H152" s="33" t="s">
        <v>54</v>
      </c>
    </row>
    <row r="153" spans="1:8" s="23" customFormat="1" ht="15.75">
      <c r="A153" s="187"/>
      <c r="B153" s="227" t="s">
        <v>283</v>
      </c>
      <c r="C153" s="83" t="s">
        <v>2</v>
      </c>
      <c r="D153" s="150">
        <v>6</v>
      </c>
      <c r="E153" s="43">
        <v>100</v>
      </c>
      <c r="F153" s="31">
        <f t="shared" si="8"/>
        <v>6</v>
      </c>
      <c r="G153" s="64" t="s">
        <v>247</v>
      </c>
      <c r="H153" s="47" t="s">
        <v>54</v>
      </c>
    </row>
    <row r="154" spans="1:8" s="23" customFormat="1" ht="16.5" thickBot="1">
      <c r="A154" s="188"/>
      <c r="B154" s="237" t="s">
        <v>205</v>
      </c>
      <c r="C154" s="197" t="s">
        <v>2</v>
      </c>
      <c r="D154" s="288">
        <v>3056.9</v>
      </c>
      <c r="E154" s="55">
        <v>30</v>
      </c>
      <c r="F154" s="56">
        <f t="shared" si="8"/>
        <v>917</v>
      </c>
      <c r="G154" s="55"/>
      <c r="H154" s="84" t="s">
        <v>54</v>
      </c>
    </row>
    <row r="155" spans="1:8" s="23" customFormat="1" ht="15.75">
      <c r="A155" s="192"/>
      <c r="B155" s="241" t="s">
        <v>363</v>
      </c>
      <c r="C155" s="199" t="s">
        <v>2</v>
      </c>
      <c r="D155" s="287">
        <v>7664.43</v>
      </c>
      <c r="E155" s="59">
        <v>70</v>
      </c>
      <c r="F155" s="60">
        <f t="shared" si="8"/>
        <v>5365</v>
      </c>
      <c r="G155" s="61"/>
      <c r="H155" s="80" t="s">
        <v>380</v>
      </c>
    </row>
    <row r="156" spans="1:8" s="23" customFormat="1" ht="15.75">
      <c r="A156" s="187"/>
      <c r="B156" s="224" t="s">
        <v>363</v>
      </c>
      <c r="C156" s="75" t="s">
        <v>2</v>
      </c>
      <c r="D156" s="149">
        <v>7664.43</v>
      </c>
      <c r="E156" s="30">
        <v>10</v>
      </c>
      <c r="F156" s="31">
        <f t="shared" si="8"/>
        <v>766</v>
      </c>
      <c r="G156" s="32"/>
      <c r="H156" s="33" t="s">
        <v>360</v>
      </c>
    </row>
    <row r="157" spans="1:8" s="23" customFormat="1" ht="16.5" customHeight="1" thickBot="1">
      <c r="A157" s="188"/>
      <c r="B157" s="237" t="s">
        <v>212</v>
      </c>
      <c r="C157" s="273" t="s">
        <v>2</v>
      </c>
      <c r="D157" s="288">
        <v>7664.43</v>
      </c>
      <c r="E157" s="55">
        <v>80</v>
      </c>
      <c r="F157" s="56">
        <f t="shared" si="8"/>
        <v>6132</v>
      </c>
      <c r="G157" s="69"/>
      <c r="H157" s="84" t="s">
        <v>198</v>
      </c>
    </row>
    <row r="158" spans="1:8" s="23" customFormat="1" ht="15" customHeight="1" thickBot="1">
      <c r="A158" s="167" t="s">
        <v>14</v>
      </c>
      <c r="B158" s="264" t="s">
        <v>456</v>
      </c>
      <c r="C158" s="217"/>
      <c r="D158" s="282"/>
      <c r="E158" s="155"/>
      <c r="F158" s="155"/>
      <c r="G158" s="155"/>
      <c r="H158" s="156"/>
    </row>
    <row r="159" spans="1:8" s="23" customFormat="1" ht="15" customHeight="1">
      <c r="A159" s="187"/>
      <c r="B159" s="236" t="s">
        <v>70</v>
      </c>
      <c r="C159" s="83" t="s">
        <v>2</v>
      </c>
      <c r="D159" s="150">
        <f>9763.6+8942.1</f>
        <v>18705.7</v>
      </c>
      <c r="E159" s="43">
        <v>80</v>
      </c>
      <c r="F159" s="63">
        <f t="shared" si="8"/>
        <v>14965</v>
      </c>
      <c r="G159" s="79"/>
      <c r="H159" s="47" t="s">
        <v>43</v>
      </c>
    </row>
    <row r="160" spans="1:8" s="23" customFormat="1" ht="15.75">
      <c r="A160" s="195"/>
      <c r="B160" s="231" t="s">
        <v>206</v>
      </c>
      <c r="C160" s="75" t="s">
        <v>379</v>
      </c>
      <c r="D160" s="149" t="s">
        <v>131</v>
      </c>
      <c r="E160" s="30"/>
      <c r="F160" s="87">
        <v>1395</v>
      </c>
      <c r="G160" s="30"/>
      <c r="H160" s="39"/>
    </row>
    <row r="161" spans="1:8" s="23" customFormat="1" ht="15.75">
      <c r="A161" s="195"/>
      <c r="B161" s="231" t="s">
        <v>216</v>
      </c>
      <c r="C161" s="75" t="s">
        <v>2</v>
      </c>
      <c r="D161" s="73" t="s">
        <v>319</v>
      </c>
      <c r="E161" s="34"/>
      <c r="F161" s="30">
        <f>F160*0.6</f>
        <v>837</v>
      </c>
      <c r="G161" s="34" t="s">
        <v>57</v>
      </c>
      <c r="H161" s="39" t="s">
        <v>49</v>
      </c>
    </row>
    <row r="162" spans="1:8" s="23" customFormat="1" ht="15.75">
      <c r="A162" s="187"/>
      <c r="B162" s="226" t="s">
        <v>231</v>
      </c>
      <c r="C162" s="75" t="s">
        <v>2</v>
      </c>
      <c r="D162" s="149">
        <v>11007.4</v>
      </c>
      <c r="E162" s="30">
        <v>70</v>
      </c>
      <c r="F162" s="31">
        <f>ROUND((D162*E162%),0)</f>
        <v>7705</v>
      </c>
      <c r="G162" s="53"/>
      <c r="H162" s="39" t="s">
        <v>49</v>
      </c>
    </row>
    <row r="163" spans="1:8" s="23" customFormat="1" ht="15.75">
      <c r="A163" s="195"/>
      <c r="B163" s="239" t="s">
        <v>230</v>
      </c>
      <c r="C163" s="83" t="s">
        <v>2</v>
      </c>
      <c r="D163" s="150">
        <v>1186</v>
      </c>
      <c r="E163" s="43">
        <v>100</v>
      </c>
      <c r="F163" s="31">
        <f>ROUND((D163*E163%),0)</f>
        <v>1186</v>
      </c>
      <c r="G163" s="64" t="s">
        <v>57</v>
      </c>
      <c r="H163" s="47" t="s">
        <v>49</v>
      </c>
    </row>
    <row r="164" spans="1:8" s="23" customFormat="1" ht="15.75">
      <c r="A164" s="195"/>
      <c r="B164" s="231" t="s">
        <v>207</v>
      </c>
      <c r="C164" s="75" t="s">
        <v>2</v>
      </c>
      <c r="D164" s="149"/>
      <c r="E164" s="31"/>
      <c r="F164" s="30">
        <f>F161</f>
        <v>837</v>
      </c>
      <c r="G164" s="30"/>
      <c r="H164" s="39" t="s">
        <v>55</v>
      </c>
    </row>
    <row r="165" spans="1:8" s="23" customFormat="1" ht="15.75">
      <c r="A165" s="195"/>
      <c r="B165" s="231" t="s">
        <v>382</v>
      </c>
      <c r="C165" s="83" t="s">
        <v>157</v>
      </c>
      <c r="D165" s="150" t="s">
        <v>166</v>
      </c>
      <c r="E165" s="43">
        <v>20</v>
      </c>
      <c r="F165" s="43">
        <v>4.42</v>
      </c>
      <c r="G165" s="43"/>
      <c r="H165" s="47" t="s">
        <v>55</v>
      </c>
    </row>
    <row r="166" spans="1:8" s="23" customFormat="1" ht="15.75">
      <c r="A166" s="195"/>
      <c r="B166" s="231" t="s">
        <v>224</v>
      </c>
      <c r="C166" s="75" t="s">
        <v>124</v>
      </c>
      <c r="D166" s="149" t="s">
        <v>186</v>
      </c>
      <c r="E166" s="30">
        <v>100</v>
      </c>
      <c r="F166" s="88" t="s">
        <v>186</v>
      </c>
      <c r="G166" s="34" t="s">
        <v>57</v>
      </c>
      <c r="H166" s="343" t="s">
        <v>359</v>
      </c>
    </row>
    <row r="167" spans="1:8" s="23" customFormat="1" ht="15.75">
      <c r="A167" s="195"/>
      <c r="B167" s="231" t="s">
        <v>223</v>
      </c>
      <c r="C167" s="75" t="s">
        <v>11</v>
      </c>
      <c r="D167" s="149">
        <v>1</v>
      </c>
      <c r="E167" s="30">
        <v>100</v>
      </c>
      <c r="F167" s="30">
        <v>1</v>
      </c>
      <c r="G167" s="30"/>
      <c r="H167" s="358"/>
    </row>
    <row r="168" spans="1:8" s="23" customFormat="1" ht="15.75">
      <c r="A168" s="195"/>
      <c r="B168" s="231" t="s">
        <v>215</v>
      </c>
      <c r="C168" s="75" t="s">
        <v>2</v>
      </c>
      <c r="D168" s="149">
        <v>9763.6</v>
      </c>
      <c r="E168" s="30">
        <v>60</v>
      </c>
      <c r="F168" s="31">
        <f aca="true" t="shared" si="9" ref="F168:F178">ROUND((D168*E168%),0)</f>
        <v>5858</v>
      </c>
      <c r="G168" s="34" t="s">
        <v>57</v>
      </c>
      <c r="H168" s="39" t="s">
        <v>44</v>
      </c>
    </row>
    <row r="169" spans="1:8" s="23" customFormat="1" ht="15.75">
      <c r="A169" s="195"/>
      <c r="B169" s="231" t="s">
        <v>228</v>
      </c>
      <c r="C169" s="75" t="s">
        <v>2</v>
      </c>
      <c r="D169" s="149">
        <v>231.6</v>
      </c>
      <c r="E169" s="30">
        <v>100</v>
      </c>
      <c r="F169" s="31">
        <f t="shared" si="9"/>
        <v>232</v>
      </c>
      <c r="G169" s="30"/>
      <c r="H169" s="33" t="s">
        <v>43</v>
      </c>
    </row>
    <row r="170" spans="1:8" s="23" customFormat="1" ht="15.75">
      <c r="A170" s="187"/>
      <c r="B170" s="224" t="s">
        <v>204</v>
      </c>
      <c r="C170" s="75" t="s">
        <v>2</v>
      </c>
      <c r="D170" s="150">
        <v>9763.6</v>
      </c>
      <c r="E170" s="30">
        <v>30</v>
      </c>
      <c r="F170" s="31">
        <f t="shared" si="9"/>
        <v>2929</v>
      </c>
      <c r="G170" s="32"/>
      <c r="H170" s="33" t="s">
        <v>54</v>
      </c>
    </row>
    <row r="171" spans="1:8" s="23" customFormat="1" ht="15.75">
      <c r="A171" s="187"/>
      <c r="B171" s="224" t="s">
        <v>274</v>
      </c>
      <c r="C171" s="75" t="s">
        <v>2</v>
      </c>
      <c r="D171" s="149">
        <v>231.6</v>
      </c>
      <c r="E171" s="30">
        <v>100</v>
      </c>
      <c r="F171" s="31">
        <f t="shared" si="9"/>
        <v>232</v>
      </c>
      <c r="G171" s="30"/>
      <c r="H171" s="40" t="s">
        <v>54</v>
      </c>
    </row>
    <row r="172" spans="1:8" s="23" customFormat="1" ht="15.75">
      <c r="A172" s="187"/>
      <c r="B172" s="176" t="s">
        <v>268</v>
      </c>
      <c r="C172" s="83" t="s">
        <v>2</v>
      </c>
      <c r="D172" s="150">
        <v>9763.6</v>
      </c>
      <c r="E172" s="30">
        <v>30</v>
      </c>
      <c r="F172" s="31">
        <f t="shared" si="9"/>
        <v>2929</v>
      </c>
      <c r="G172" s="79"/>
      <c r="H172" s="40" t="s">
        <v>54</v>
      </c>
    </row>
    <row r="173" spans="1:8" s="23" customFormat="1" ht="15.75">
      <c r="A173" s="187"/>
      <c r="B173" s="227" t="s">
        <v>283</v>
      </c>
      <c r="C173" s="75" t="s">
        <v>2</v>
      </c>
      <c r="D173" s="150">
        <v>54</v>
      </c>
      <c r="E173" s="30">
        <v>100</v>
      </c>
      <c r="F173" s="31">
        <f t="shared" si="9"/>
        <v>54</v>
      </c>
      <c r="G173" s="34" t="s">
        <v>4</v>
      </c>
      <c r="H173" s="47" t="s">
        <v>54</v>
      </c>
    </row>
    <row r="174" spans="1:8" s="23" customFormat="1" ht="15.75">
      <c r="A174" s="187"/>
      <c r="B174" s="224" t="s">
        <v>205</v>
      </c>
      <c r="C174" s="75" t="s">
        <v>2</v>
      </c>
      <c r="D174" s="150">
        <v>9763.6</v>
      </c>
      <c r="E174" s="30">
        <v>30</v>
      </c>
      <c r="F174" s="31">
        <f t="shared" si="9"/>
        <v>2929</v>
      </c>
      <c r="G174" s="30"/>
      <c r="H174" s="33" t="s">
        <v>55</v>
      </c>
    </row>
    <row r="175" spans="1:8" s="23" customFormat="1" ht="15.75">
      <c r="A175" s="187"/>
      <c r="B175" s="224" t="s">
        <v>294</v>
      </c>
      <c r="C175" s="75" t="s">
        <v>2</v>
      </c>
      <c r="D175" s="149">
        <v>231.6</v>
      </c>
      <c r="E175" s="30">
        <v>100</v>
      </c>
      <c r="F175" s="31">
        <f t="shared" si="9"/>
        <v>232</v>
      </c>
      <c r="G175" s="30"/>
      <c r="H175" s="33" t="s">
        <v>55</v>
      </c>
    </row>
    <row r="176" spans="1:8" s="23" customFormat="1" ht="15.75">
      <c r="A176" s="187"/>
      <c r="B176" s="224" t="s">
        <v>363</v>
      </c>
      <c r="C176" s="75" t="s">
        <v>2</v>
      </c>
      <c r="D176" s="149">
        <v>8942.1</v>
      </c>
      <c r="E176" s="30">
        <v>90</v>
      </c>
      <c r="F176" s="31">
        <f t="shared" si="9"/>
        <v>8048</v>
      </c>
      <c r="G176" s="32"/>
      <c r="H176" s="33" t="s">
        <v>380</v>
      </c>
    </row>
    <row r="177" spans="1:8" s="23" customFormat="1" ht="15" customHeight="1">
      <c r="A177" s="187"/>
      <c r="B177" s="224" t="s">
        <v>363</v>
      </c>
      <c r="C177" s="75" t="s">
        <v>2</v>
      </c>
      <c r="D177" s="149">
        <v>8942.1</v>
      </c>
      <c r="E177" s="30">
        <v>10</v>
      </c>
      <c r="F177" s="31">
        <f t="shared" si="9"/>
        <v>894</v>
      </c>
      <c r="G177" s="32"/>
      <c r="H177" s="33" t="s">
        <v>360</v>
      </c>
    </row>
    <row r="178" spans="1:8" s="23" customFormat="1" ht="15.75" customHeight="1" thickBot="1">
      <c r="A178" s="196"/>
      <c r="B178" s="232" t="s">
        <v>212</v>
      </c>
      <c r="C178" s="197" t="s">
        <v>2</v>
      </c>
      <c r="D178" s="288">
        <v>8942.1</v>
      </c>
      <c r="E178" s="56">
        <v>60</v>
      </c>
      <c r="F178" s="56">
        <f t="shared" si="9"/>
        <v>5365</v>
      </c>
      <c r="G178" s="69"/>
      <c r="H178" s="58" t="s">
        <v>198</v>
      </c>
    </row>
    <row r="179" spans="1:8" s="23" customFormat="1" ht="15.75" customHeight="1" thickBot="1">
      <c r="A179" s="187"/>
      <c r="B179" s="229" t="s">
        <v>181</v>
      </c>
      <c r="C179" s="272" t="s">
        <v>182</v>
      </c>
      <c r="D179" s="284">
        <f>D178/10000</f>
        <v>0.8942100000000001</v>
      </c>
      <c r="E179" s="50">
        <f>E178</f>
        <v>60</v>
      </c>
      <c r="F179" s="65">
        <f>D179*E179%</f>
        <v>0.5365260000000001</v>
      </c>
      <c r="G179" s="50"/>
      <c r="H179" s="52" t="s">
        <v>198</v>
      </c>
    </row>
    <row r="180" spans="1:8" s="23" customFormat="1" ht="18.75" customHeight="1" thickBot="1">
      <c r="A180" s="167" t="s">
        <v>15</v>
      </c>
      <c r="B180" s="311" t="s">
        <v>457</v>
      </c>
      <c r="C180" s="217"/>
      <c r="D180" s="282"/>
      <c r="E180" s="155"/>
      <c r="F180" s="155"/>
      <c r="G180" s="155"/>
      <c r="H180" s="156"/>
    </row>
    <row r="181" spans="1:8" s="23" customFormat="1" ht="30.75" customHeight="1">
      <c r="A181" s="187"/>
      <c r="B181" s="236" t="s">
        <v>347</v>
      </c>
      <c r="C181" s="83" t="s">
        <v>2</v>
      </c>
      <c r="D181" s="150">
        <f>5764+6605.5+218.6+350.73</f>
        <v>12938.83</v>
      </c>
      <c r="E181" s="43">
        <v>80</v>
      </c>
      <c r="F181" s="63">
        <f>ROUND((D181*E181%),0)</f>
        <v>10351</v>
      </c>
      <c r="G181" s="92"/>
      <c r="H181" s="47" t="s">
        <v>44</v>
      </c>
    </row>
    <row r="182" spans="1:8" s="23" customFormat="1" ht="15.75">
      <c r="A182" s="187"/>
      <c r="B182" s="242" t="s">
        <v>63</v>
      </c>
      <c r="C182" s="75" t="s">
        <v>2</v>
      </c>
      <c r="D182" s="149">
        <v>900</v>
      </c>
      <c r="E182" s="30">
        <v>70</v>
      </c>
      <c r="F182" s="31">
        <f>D182*70%</f>
        <v>630</v>
      </c>
      <c r="G182" s="53"/>
      <c r="H182" s="39" t="s">
        <v>123</v>
      </c>
    </row>
    <row r="183" spans="1:8" s="23" customFormat="1" ht="15.75">
      <c r="A183" s="187"/>
      <c r="B183" s="176" t="s">
        <v>206</v>
      </c>
      <c r="C183" s="83" t="s">
        <v>379</v>
      </c>
      <c r="D183" s="150"/>
      <c r="E183" s="43"/>
      <c r="F183" s="43">
        <v>761.8</v>
      </c>
      <c r="G183" s="43"/>
      <c r="H183" s="89"/>
    </row>
    <row r="184" spans="1:8" s="23" customFormat="1" ht="15.75">
      <c r="A184" s="187"/>
      <c r="B184" s="224" t="s">
        <v>216</v>
      </c>
      <c r="C184" s="83" t="s">
        <v>2</v>
      </c>
      <c r="D184" s="361" t="s">
        <v>320</v>
      </c>
      <c r="E184" s="362"/>
      <c r="F184" s="43">
        <v>457</v>
      </c>
      <c r="G184" s="34" t="s">
        <v>56</v>
      </c>
      <c r="H184" s="47" t="s">
        <v>48</v>
      </c>
    </row>
    <row r="185" spans="1:8" s="23" customFormat="1" ht="15.75">
      <c r="A185" s="187"/>
      <c r="B185" s="225" t="s">
        <v>231</v>
      </c>
      <c r="C185" s="83" t="s">
        <v>2</v>
      </c>
      <c r="D185" s="150">
        <v>5750.1</v>
      </c>
      <c r="E185" s="30">
        <v>60</v>
      </c>
      <c r="F185" s="31">
        <f>ROUND((D185*E185%),0)</f>
        <v>3450</v>
      </c>
      <c r="G185" s="53"/>
      <c r="H185" s="47" t="s">
        <v>48</v>
      </c>
    </row>
    <row r="186" spans="1:8" s="23" customFormat="1" ht="15.75">
      <c r="A186" s="187"/>
      <c r="B186" s="224" t="s">
        <v>230</v>
      </c>
      <c r="C186" s="75" t="s">
        <v>2</v>
      </c>
      <c r="D186" s="150">
        <f>582+104</f>
        <v>686</v>
      </c>
      <c r="E186" s="30">
        <v>70</v>
      </c>
      <c r="F186" s="31">
        <f>ROUND((D186*E186%),0)</f>
        <v>480</v>
      </c>
      <c r="G186" s="34" t="s">
        <v>56</v>
      </c>
      <c r="H186" s="47" t="s">
        <v>48</v>
      </c>
    </row>
    <row r="187" spans="1:8" s="23" customFormat="1" ht="15.75">
      <c r="A187" s="187"/>
      <c r="B187" s="224" t="s">
        <v>207</v>
      </c>
      <c r="C187" s="75" t="s">
        <v>2</v>
      </c>
      <c r="D187" s="150"/>
      <c r="E187" s="31"/>
      <c r="F187" s="30">
        <f>F184</f>
        <v>457</v>
      </c>
      <c r="G187" s="30"/>
      <c r="H187" s="33" t="s">
        <v>55</v>
      </c>
    </row>
    <row r="188" spans="1:8" s="23" customFormat="1" ht="15.75">
      <c r="A188" s="187"/>
      <c r="B188" s="231" t="s">
        <v>382</v>
      </c>
      <c r="C188" s="75" t="s">
        <v>157</v>
      </c>
      <c r="D188" s="150" t="s">
        <v>165</v>
      </c>
      <c r="E188" s="30">
        <v>20</v>
      </c>
      <c r="F188" s="30">
        <v>1.32</v>
      </c>
      <c r="G188" s="30"/>
      <c r="H188" s="33" t="s">
        <v>55</v>
      </c>
    </row>
    <row r="189" spans="1:8" s="23" customFormat="1" ht="15.75">
      <c r="A189" s="187"/>
      <c r="B189" s="224" t="s">
        <v>211</v>
      </c>
      <c r="C189" s="75" t="s">
        <v>2</v>
      </c>
      <c r="D189" s="149">
        <f>5764+9</f>
        <v>5773</v>
      </c>
      <c r="E189" s="30">
        <v>70</v>
      </c>
      <c r="F189" s="31">
        <f aca="true" t="shared" si="10" ref="F189:F197">ROUND((D189*E189%),0)</f>
        <v>4041</v>
      </c>
      <c r="G189" s="34" t="s">
        <v>56</v>
      </c>
      <c r="H189" s="47" t="s">
        <v>44</v>
      </c>
    </row>
    <row r="190" spans="1:8" s="23" customFormat="1" ht="15.75">
      <c r="A190" s="187"/>
      <c r="B190" s="224" t="s">
        <v>364</v>
      </c>
      <c r="C190" s="75" t="s">
        <v>2</v>
      </c>
      <c r="D190" s="149">
        <f>350.73</f>
        <v>350.73</v>
      </c>
      <c r="E190" s="30">
        <v>60</v>
      </c>
      <c r="F190" s="31">
        <f t="shared" si="10"/>
        <v>210</v>
      </c>
      <c r="G190" s="34"/>
      <c r="H190" s="47" t="s">
        <v>44</v>
      </c>
    </row>
    <row r="191" spans="1:8" s="23" customFormat="1" ht="15.75">
      <c r="A191" s="187"/>
      <c r="B191" s="224" t="s">
        <v>204</v>
      </c>
      <c r="C191" s="75" t="s">
        <v>2</v>
      </c>
      <c r="D191" s="149">
        <f>5764+9</f>
        <v>5773</v>
      </c>
      <c r="E191" s="30">
        <v>30</v>
      </c>
      <c r="F191" s="31">
        <f t="shared" si="10"/>
        <v>1732</v>
      </c>
      <c r="G191" s="32"/>
      <c r="H191" s="33" t="s">
        <v>54</v>
      </c>
    </row>
    <row r="192" spans="1:8" s="23" customFormat="1" ht="15.75">
      <c r="A192" s="187"/>
      <c r="B192" s="224" t="s">
        <v>268</v>
      </c>
      <c r="C192" s="75" t="s">
        <v>2</v>
      </c>
      <c r="D192" s="149">
        <f>5764+9</f>
        <v>5773</v>
      </c>
      <c r="E192" s="30">
        <v>30</v>
      </c>
      <c r="F192" s="31">
        <f t="shared" si="10"/>
        <v>1732</v>
      </c>
      <c r="G192" s="32"/>
      <c r="H192" s="33" t="s">
        <v>54</v>
      </c>
    </row>
    <row r="193" spans="1:8" s="23" customFormat="1" ht="15.75">
      <c r="A193" s="187"/>
      <c r="B193" s="227" t="s">
        <v>283</v>
      </c>
      <c r="C193" s="75" t="s">
        <v>2</v>
      </c>
      <c r="D193" s="150">
        <v>16.5</v>
      </c>
      <c r="E193" s="30">
        <v>100</v>
      </c>
      <c r="F193" s="31">
        <f t="shared" si="10"/>
        <v>17</v>
      </c>
      <c r="G193" s="34" t="s">
        <v>4</v>
      </c>
      <c r="H193" s="47" t="s">
        <v>54</v>
      </c>
    </row>
    <row r="194" spans="1:8" s="23" customFormat="1" ht="15.75">
      <c r="A194" s="187"/>
      <c r="B194" s="224" t="s">
        <v>205</v>
      </c>
      <c r="C194" s="75" t="s">
        <v>2</v>
      </c>
      <c r="D194" s="149">
        <f>5764+9</f>
        <v>5773</v>
      </c>
      <c r="E194" s="30">
        <v>30</v>
      </c>
      <c r="F194" s="31">
        <f t="shared" si="10"/>
        <v>1732</v>
      </c>
      <c r="G194" s="30"/>
      <c r="H194" s="47" t="s">
        <v>54</v>
      </c>
    </row>
    <row r="195" spans="1:8" s="23" customFormat="1" ht="15.75">
      <c r="A195" s="187"/>
      <c r="B195" s="224" t="s">
        <v>363</v>
      </c>
      <c r="C195" s="75" t="s">
        <v>2</v>
      </c>
      <c r="D195" s="149">
        <f>6605.5+900+218.6</f>
        <v>7724.1</v>
      </c>
      <c r="E195" s="30">
        <v>60</v>
      </c>
      <c r="F195" s="31">
        <f t="shared" si="10"/>
        <v>4634</v>
      </c>
      <c r="G195" s="32"/>
      <c r="H195" s="33" t="s">
        <v>380</v>
      </c>
    </row>
    <row r="196" spans="1:8" s="23" customFormat="1" ht="15.75">
      <c r="A196" s="187"/>
      <c r="B196" s="224" t="s">
        <v>363</v>
      </c>
      <c r="C196" s="75" t="s">
        <v>2</v>
      </c>
      <c r="D196" s="149">
        <f>6605.5+900+218.6</f>
        <v>7724.1</v>
      </c>
      <c r="E196" s="30">
        <v>10</v>
      </c>
      <c r="F196" s="31">
        <f t="shared" si="10"/>
        <v>772</v>
      </c>
      <c r="G196" s="32"/>
      <c r="H196" s="33" t="s">
        <v>360</v>
      </c>
    </row>
    <row r="197" spans="1:8" s="23" customFormat="1" ht="15" customHeight="1" thickBot="1">
      <c r="A197" s="196"/>
      <c r="B197" s="232" t="s">
        <v>212</v>
      </c>
      <c r="C197" s="197" t="s">
        <v>2</v>
      </c>
      <c r="D197" s="286">
        <f>6605.5+900+218.6</f>
        <v>7724.1</v>
      </c>
      <c r="E197" s="55">
        <v>70</v>
      </c>
      <c r="F197" s="56">
        <f t="shared" si="10"/>
        <v>5407</v>
      </c>
      <c r="G197" s="55"/>
      <c r="H197" s="58" t="s">
        <v>198</v>
      </c>
    </row>
    <row r="198" spans="1:8" s="23" customFormat="1" ht="20.25" customHeight="1" thickBot="1">
      <c r="A198" s="187"/>
      <c r="B198" s="229" t="s">
        <v>181</v>
      </c>
      <c r="C198" s="272" t="s">
        <v>182</v>
      </c>
      <c r="D198" s="284">
        <f>D197/10000</f>
        <v>0.77241</v>
      </c>
      <c r="E198" s="50">
        <f>E197</f>
        <v>70</v>
      </c>
      <c r="F198" s="65">
        <f>D198*E198%</f>
        <v>0.540687</v>
      </c>
      <c r="G198" s="50"/>
      <c r="H198" s="52" t="s">
        <v>198</v>
      </c>
    </row>
    <row r="199" spans="1:8" s="23" customFormat="1" ht="17.25" customHeight="1" thickBot="1">
      <c r="A199" s="167" t="s">
        <v>16</v>
      </c>
      <c r="B199" s="264" t="s">
        <v>458</v>
      </c>
      <c r="C199" s="217"/>
      <c r="D199" s="282"/>
      <c r="E199" s="155"/>
      <c r="F199" s="155"/>
      <c r="G199" s="155"/>
      <c r="H199" s="156"/>
    </row>
    <row r="200" spans="1:8" s="23" customFormat="1" ht="15.75">
      <c r="A200" s="187"/>
      <c r="B200" s="236" t="s">
        <v>68</v>
      </c>
      <c r="C200" s="83" t="s">
        <v>2</v>
      </c>
      <c r="D200" s="150">
        <f>5376.9+7715.5+166+3717</f>
        <v>16975.4</v>
      </c>
      <c r="E200" s="43">
        <v>80</v>
      </c>
      <c r="F200" s="63">
        <f>ROUND((D200*E200%),0)</f>
        <v>13580</v>
      </c>
      <c r="G200" s="92"/>
      <c r="H200" s="40" t="s">
        <v>44</v>
      </c>
    </row>
    <row r="201" spans="1:8" s="91" customFormat="1" ht="15.75">
      <c r="A201" s="200"/>
      <c r="B201" s="242" t="s">
        <v>206</v>
      </c>
      <c r="C201" s="136" t="s">
        <v>379</v>
      </c>
      <c r="D201" s="277"/>
      <c r="E201" s="87"/>
      <c r="F201" s="87">
        <v>990</v>
      </c>
      <c r="G201" s="87"/>
      <c r="H201" s="90"/>
    </row>
    <row r="202" spans="1:8" s="23" customFormat="1" ht="15.75">
      <c r="A202" s="187"/>
      <c r="B202" s="224" t="s">
        <v>216</v>
      </c>
      <c r="C202" s="75" t="s">
        <v>2</v>
      </c>
      <c r="D202" s="361" t="s">
        <v>368</v>
      </c>
      <c r="E202" s="362"/>
      <c r="F202" s="63">
        <f>(750+240+240)*0.6</f>
        <v>738</v>
      </c>
      <c r="G202" s="34" t="s">
        <v>4</v>
      </c>
      <c r="H202" s="33" t="s">
        <v>48</v>
      </c>
    </row>
    <row r="203" spans="1:8" s="23" customFormat="1" ht="15.75">
      <c r="A203" s="187"/>
      <c r="B203" s="171" t="s">
        <v>321</v>
      </c>
      <c r="C203" s="271" t="s">
        <v>2</v>
      </c>
      <c r="D203" s="150">
        <v>9835.1</v>
      </c>
      <c r="E203" s="30">
        <v>70</v>
      </c>
      <c r="F203" s="31">
        <f>ROUND((D203*E203%),0)</f>
        <v>6885</v>
      </c>
      <c r="G203" s="53"/>
      <c r="H203" s="33" t="s">
        <v>48</v>
      </c>
    </row>
    <row r="204" spans="1:8" s="23" customFormat="1" ht="15.75">
      <c r="A204" s="187"/>
      <c r="B204" s="224" t="s">
        <v>67</v>
      </c>
      <c r="C204" s="75" t="s">
        <v>2</v>
      </c>
      <c r="D204" s="150">
        <v>95</v>
      </c>
      <c r="E204" s="30">
        <v>80</v>
      </c>
      <c r="F204" s="31">
        <f>ROUND((D204*E204%),0)</f>
        <v>76</v>
      </c>
      <c r="G204" s="34" t="s">
        <v>4</v>
      </c>
      <c r="H204" s="33" t="s">
        <v>48</v>
      </c>
    </row>
    <row r="205" spans="1:8" s="23" customFormat="1" ht="15.75">
      <c r="A205" s="187"/>
      <c r="B205" s="224" t="s">
        <v>207</v>
      </c>
      <c r="C205" s="75" t="s">
        <v>2</v>
      </c>
      <c r="D205" s="150"/>
      <c r="E205" s="31"/>
      <c r="F205" s="31">
        <f>F202</f>
        <v>738</v>
      </c>
      <c r="G205" s="30"/>
      <c r="H205" s="33" t="s">
        <v>55</v>
      </c>
    </row>
    <row r="206" spans="1:8" s="23" customFormat="1" ht="15.75">
      <c r="A206" s="187"/>
      <c r="B206" s="231" t="s">
        <v>382</v>
      </c>
      <c r="C206" s="75" t="s">
        <v>157</v>
      </c>
      <c r="D206" s="150" t="s">
        <v>163</v>
      </c>
      <c r="E206" s="30">
        <v>20</v>
      </c>
      <c r="F206" s="30">
        <v>1.98</v>
      </c>
      <c r="G206" s="30"/>
      <c r="H206" s="33" t="s">
        <v>55</v>
      </c>
    </row>
    <row r="207" spans="1:8" s="23" customFormat="1" ht="15.75">
      <c r="A207" s="187"/>
      <c r="B207" s="224" t="s">
        <v>224</v>
      </c>
      <c r="C207" s="75" t="s">
        <v>124</v>
      </c>
      <c r="D207" s="149" t="s">
        <v>129</v>
      </c>
      <c r="E207" s="30">
        <v>100</v>
      </c>
      <c r="F207" s="88" t="s">
        <v>129</v>
      </c>
      <c r="G207" s="34" t="s">
        <v>4</v>
      </c>
      <c r="H207" s="343" t="s">
        <v>359</v>
      </c>
    </row>
    <row r="208" spans="1:8" s="23" customFormat="1" ht="16.5" customHeight="1" thickBot="1">
      <c r="A208" s="188"/>
      <c r="B208" s="235" t="s">
        <v>223</v>
      </c>
      <c r="C208" s="273" t="s">
        <v>11</v>
      </c>
      <c r="D208" s="288">
        <v>8</v>
      </c>
      <c r="E208" s="55">
        <v>100</v>
      </c>
      <c r="F208" s="69">
        <v>8</v>
      </c>
      <c r="G208" s="69"/>
      <c r="H208" s="366"/>
    </row>
    <row r="209" spans="1:8" s="23" customFormat="1" ht="15" customHeight="1">
      <c r="A209" s="198"/>
      <c r="B209" s="233" t="s">
        <v>211</v>
      </c>
      <c r="C209" s="199" t="s">
        <v>2</v>
      </c>
      <c r="D209" s="287">
        <v>5376.9</v>
      </c>
      <c r="E209" s="59">
        <v>50</v>
      </c>
      <c r="F209" s="60">
        <f aca="true" t="shared" si="11" ref="F209:F216">ROUND((D209*E209%),0)</f>
        <v>2688</v>
      </c>
      <c r="G209" s="77" t="s">
        <v>4</v>
      </c>
      <c r="H209" s="62" t="s">
        <v>44</v>
      </c>
    </row>
    <row r="210" spans="1:8" s="23" customFormat="1" ht="14.25" customHeight="1">
      <c r="A210" s="195"/>
      <c r="B210" s="231" t="s">
        <v>204</v>
      </c>
      <c r="C210" s="75" t="s">
        <v>2</v>
      </c>
      <c r="D210" s="149">
        <v>5376.9</v>
      </c>
      <c r="E210" s="30">
        <v>30</v>
      </c>
      <c r="F210" s="31">
        <f t="shared" si="11"/>
        <v>1613</v>
      </c>
      <c r="G210" s="32"/>
      <c r="H210" s="39" t="s">
        <v>54</v>
      </c>
    </row>
    <row r="211" spans="1:8" s="23" customFormat="1" ht="18.75" customHeight="1">
      <c r="A211" s="195"/>
      <c r="B211" s="231" t="s">
        <v>268</v>
      </c>
      <c r="C211" s="75" t="s">
        <v>2</v>
      </c>
      <c r="D211" s="149">
        <v>5376.9</v>
      </c>
      <c r="E211" s="30">
        <v>30</v>
      </c>
      <c r="F211" s="31">
        <f t="shared" si="11"/>
        <v>1613</v>
      </c>
      <c r="G211" s="32"/>
      <c r="H211" s="39" t="s">
        <v>54</v>
      </c>
    </row>
    <row r="212" spans="1:8" s="23" customFormat="1" ht="15" customHeight="1">
      <c r="A212" s="195"/>
      <c r="B212" s="231" t="s">
        <v>283</v>
      </c>
      <c r="C212" s="75" t="s">
        <v>2</v>
      </c>
      <c r="D212" s="149">
        <v>24</v>
      </c>
      <c r="E212" s="30">
        <v>100</v>
      </c>
      <c r="F212" s="31">
        <f t="shared" si="11"/>
        <v>24</v>
      </c>
      <c r="G212" s="34" t="s">
        <v>4</v>
      </c>
      <c r="H212" s="39" t="s">
        <v>54</v>
      </c>
    </row>
    <row r="213" spans="1:8" s="23" customFormat="1" ht="15" customHeight="1">
      <c r="A213" s="187"/>
      <c r="B213" s="224" t="s">
        <v>205</v>
      </c>
      <c r="C213" s="75" t="s">
        <v>2</v>
      </c>
      <c r="D213" s="149">
        <v>5376.9</v>
      </c>
      <c r="E213" s="30">
        <v>30</v>
      </c>
      <c r="F213" s="31">
        <f t="shared" si="11"/>
        <v>1613</v>
      </c>
      <c r="G213" s="30"/>
      <c r="H213" s="39" t="s">
        <v>54</v>
      </c>
    </row>
    <row r="214" spans="1:8" s="23" customFormat="1" ht="14.25" customHeight="1">
      <c r="A214" s="187"/>
      <c r="B214" s="224" t="s">
        <v>363</v>
      </c>
      <c r="C214" s="75" t="s">
        <v>2</v>
      </c>
      <c r="D214" s="149">
        <f>7715.5+3717</f>
        <v>11432.5</v>
      </c>
      <c r="E214" s="30">
        <v>50</v>
      </c>
      <c r="F214" s="31">
        <f t="shared" si="11"/>
        <v>5716</v>
      </c>
      <c r="G214" s="32"/>
      <c r="H214" s="33" t="s">
        <v>380</v>
      </c>
    </row>
    <row r="215" spans="1:8" s="23" customFormat="1" ht="14.25" customHeight="1">
      <c r="A215" s="187"/>
      <c r="B215" s="224" t="s">
        <v>363</v>
      </c>
      <c r="C215" s="75" t="s">
        <v>2</v>
      </c>
      <c r="D215" s="149">
        <f>7715.5+3717</f>
        <v>11432.5</v>
      </c>
      <c r="E215" s="30">
        <v>10</v>
      </c>
      <c r="F215" s="31">
        <f t="shared" si="11"/>
        <v>1143</v>
      </c>
      <c r="G215" s="32"/>
      <c r="H215" s="33" t="s">
        <v>360</v>
      </c>
    </row>
    <row r="216" spans="1:8" s="23" customFormat="1" ht="16.5" customHeight="1" thickBot="1">
      <c r="A216" s="196"/>
      <c r="B216" s="232" t="s">
        <v>212</v>
      </c>
      <c r="C216" s="197" t="s">
        <v>2</v>
      </c>
      <c r="D216" s="286">
        <f>7715.5+3717</f>
        <v>11432.5</v>
      </c>
      <c r="E216" s="55">
        <v>80</v>
      </c>
      <c r="F216" s="56">
        <f t="shared" si="11"/>
        <v>9146</v>
      </c>
      <c r="G216" s="55"/>
      <c r="H216" s="58" t="s">
        <v>198</v>
      </c>
    </row>
    <row r="217" spans="1:8" s="23" customFormat="1" ht="22.5" customHeight="1" thickBot="1">
      <c r="A217" s="187"/>
      <c r="B217" s="229" t="s">
        <v>181</v>
      </c>
      <c r="C217" s="272" t="s">
        <v>182</v>
      </c>
      <c r="D217" s="284">
        <f>D216/10000</f>
        <v>1.14325</v>
      </c>
      <c r="E217" s="50">
        <f>E216</f>
        <v>80</v>
      </c>
      <c r="F217" s="65">
        <f>D217*E217%</f>
        <v>0.9146000000000001</v>
      </c>
      <c r="G217" s="50"/>
      <c r="H217" s="52" t="s">
        <v>198</v>
      </c>
    </row>
    <row r="218" spans="1:8" s="23" customFormat="1" ht="15.75" customHeight="1" thickBot="1">
      <c r="A218" s="216" t="s">
        <v>17</v>
      </c>
      <c r="B218" s="264" t="s">
        <v>459</v>
      </c>
      <c r="C218" s="217"/>
      <c r="D218" s="314"/>
      <c r="E218" s="315"/>
      <c r="F218" s="155"/>
      <c r="G218" s="315"/>
      <c r="H218" s="161"/>
    </row>
    <row r="219" spans="1:8" s="23" customFormat="1" ht="19.5" customHeight="1">
      <c r="A219" s="195"/>
      <c r="B219" s="307" t="s">
        <v>250</v>
      </c>
      <c r="C219" s="83" t="s">
        <v>2</v>
      </c>
      <c r="D219" s="308">
        <f>12642.2+683.8</f>
        <v>13326</v>
      </c>
      <c r="E219" s="67">
        <v>50</v>
      </c>
      <c r="F219" s="63">
        <f>ROUND((D219*E219%),0)</f>
        <v>6663</v>
      </c>
      <c r="G219" s="92"/>
      <c r="H219" s="47" t="s">
        <v>44</v>
      </c>
    </row>
    <row r="220" spans="1:8" s="23" customFormat="1" ht="15.75">
      <c r="A220" s="195"/>
      <c r="B220" s="239" t="s">
        <v>206</v>
      </c>
      <c r="C220" s="83" t="s">
        <v>379</v>
      </c>
      <c r="D220" s="150" t="s">
        <v>251</v>
      </c>
      <c r="E220" s="43"/>
      <c r="F220" s="43">
        <f>500*2</f>
        <v>1000</v>
      </c>
      <c r="G220" s="92"/>
      <c r="H220" s="40"/>
    </row>
    <row r="221" spans="1:8" s="23" customFormat="1" ht="15.75">
      <c r="A221" s="195"/>
      <c r="B221" s="239" t="s">
        <v>216</v>
      </c>
      <c r="C221" s="83" t="s">
        <v>2</v>
      </c>
      <c r="D221" s="361" t="s">
        <v>322</v>
      </c>
      <c r="E221" s="362"/>
      <c r="F221" s="43">
        <f>F220*0.6</f>
        <v>600</v>
      </c>
      <c r="G221" s="93" t="s">
        <v>252</v>
      </c>
      <c r="H221" s="39" t="s">
        <v>53</v>
      </c>
    </row>
    <row r="222" spans="1:8" s="23" customFormat="1" ht="15.75">
      <c r="A222" s="195"/>
      <c r="B222" s="239" t="s">
        <v>217</v>
      </c>
      <c r="C222" s="83" t="s">
        <v>2</v>
      </c>
      <c r="D222" s="150">
        <v>10950.9</v>
      </c>
      <c r="E222" s="30">
        <v>60</v>
      </c>
      <c r="F222" s="31">
        <f aca="true" t="shared" si="12" ref="F222:F229">ROUND((D222*E222%),0)</f>
        <v>6571</v>
      </c>
      <c r="G222" s="53"/>
      <c r="H222" s="39" t="s">
        <v>44</v>
      </c>
    </row>
    <row r="223" spans="1:8" s="23" customFormat="1" ht="15.75">
      <c r="A223" s="195"/>
      <c r="B223" s="239" t="s">
        <v>218</v>
      </c>
      <c r="C223" s="83" t="s">
        <v>2</v>
      </c>
      <c r="D223" s="150">
        <v>4958</v>
      </c>
      <c r="E223" s="43">
        <v>100</v>
      </c>
      <c r="F223" s="31">
        <f t="shared" si="12"/>
        <v>4958</v>
      </c>
      <c r="G223" s="94" t="s">
        <v>252</v>
      </c>
      <c r="H223" s="40" t="s">
        <v>50</v>
      </c>
    </row>
    <row r="224" spans="1:8" s="23" customFormat="1" ht="15.75">
      <c r="A224" s="195"/>
      <c r="B224" s="231" t="s">
        <v>382</v>
      </c>
      <c r="C224" s="75" t="s">
        <v>157</v>
      </c>
      <c r="D224" s="150" t="s">
        <v>160</v>
      </c>
      <c r="E224" s="30">
        <v>20</v>
      </c>
      <c r="F224" s="30">
        <v>0.05</v>
      </c>
      <c r="G224" s="30"/>
      <c r="H224" s="33" t="s">
        <v>55</v>
      </c>
    </row>
    <row r="225" spans="1:8" s="23" customFormat="1" ht="15.75">
      <c r="A225" s="187"/>
      <c r="B225" s="228" t="s">
        <v>205</v>
      </c>
      <c r="C225" s="75" t="s">
        <v>2</v>
      </c>
      <c r="D225" s="149">
        <v>683.8</v>
      </c>
      <c r="E225" s="30">
        <v>30</v>
      </c>
      <c r="F225" s="31">
        <f t="shared" si="12"/>
        <v>205</v>
      </c>
      <c r="G225" s="32"/>
      <c r="H225" s="39" t="s">
        <v>54</v>
      </c>
    </row>
    <row r="226" spans="1:8" s="23" customFormat="1" ht="15.75">
      <c r="A226" s="187"/>
      <c r="B226" s="234" t="s">
        <v>211</v>
      </c>
      <c r="C226" s="83" t="s">
        <v>2</v>
      </c>
      <c r="D226" s="150">
        <v>683.8</v>
      </c>
      <c r="E226" s="43">
        <v>30</v>
      </c>
      <c r="F226" s="31">
        <f t="shared" si="12"/>
        <v>205</v>
      </c>
      <c r="G226" s="92" t="s">
        <v>56</v>
      </c>
      <c r="H226" s="39" t="s">
        <v>53</v>
      </c>
    </row>
    <row r="227" spans="1:8" s="23" customFormat="1" ht="15.75" customHeight="1" thickBot="1">
      <c r="A227" s="188"/>
      <c r="B227" s="243" t="s">
        <v>212</v>
      </c>
      <c r="C227" s="273" t="s">
        <v>2</v>
      </c>
      <c r="D227" s="288">
        <v>12642.2</v>
      </c>
      <c r="E227" s="55">
        <v>95</v>
      </c>
      <c r="F227" s="56">
        <f t="shared" si="12"/>
        <v>12010</v>
      </c>
      <c r="G227" s="69"/>
      <c r="H227" s="84" t="s">
        <v>198</v>
      </c>
    </row>
    <row r="228" spans="1:8" s="23" customFormat="1" ht="18" customHeight="1" thickBot="1">
      <c r="A228" s="167" t="s">
        <v>18</v>
      </c>
      <c r="B228" s="311" t="s">
        <v>293</v>
      </c>
      <c r="C228" s="217"/>
      <c r="D228" s="282"/>
      <c r="E228" s="155"/>
      <c r="F228" s="155"/>
      <c r="G228" s="155"/>
      <c r="H228" s="156"/>
    </row>
    <row r="229" spans="1:8" s="23" customFormat="1" ht="30.75" customHeight="1">
      <c r="A229" s="195"/>
      <c r="B229" s="309" t="s">
        <v>385</v>
      </c>
      <c r="C229" s="208" t="s">
        <v>2</v>
      </c>
      <c r="D229" s="276">
        <f>1922.3+2549.7+1850+1728.85+1341-857-102</f>
        <v>8432.85</v>
      </c>
      <c r="E229" s="81">
        <v>70</v>
      </c>
      <c r="F229" s="121">
        <f t="shared" si="12"/>
        <v>5903</v>
      </c>
      <c r="G229" s="131"/>
      <c r="H229" s="89" t="s">
        <v>43</v>
      </c>
    </row>
    <row r="230" spans="1:8" s="23" customFormat="1" ht="15.75" customHeight="1">
      <c r="A230" s="195"/>
      <c r="B230" s="244" t="s">
        <v>206</v>
      </c>
      <c r="C230" s="136" t="s">
        <v>379</v>
      </c>
      <c r="D230" s="277"/>
      <c r="E230" s="30"/>
      <c r="F230" s="87">
        <v>420</v>
      </c>
      <c r="G230" s="87"/>
      <c r="H230" s="90"/>
    </row>
    <row r="231" spans="1:8" s="23" customFormat="1" ht="15.75">
      <c r="A231" s="195"/>
      <c r="B231" s="244" t="s">
        <v>216</v>
      </c>
      <c r="C231" s="208" t="s">
        <v>2</v>
      </c>
      <c r="D231" s="364" t="s">
        <v>323</v>
      </c>
      <c r="E231" s="365"/>
      <c r="F231" s="95">
        <v>252</v>
      </c>
      <c r="G231" s="96" t="s">
        <v>247</v>
      </c>
      <c r="H231" s="97" t="s">
        <v>7</v>
      </c>
    </row>
    <row r="232" spans="1:8" s="23" customFormat="1" ht="15.75">
      <c r="A232" s="195"/>
      <c r="B232" s="245" t="s">
        <v>231</v>
      </c>
      <c r="C232" s="208" t="s">
        <v>2</v>
      </c>
      <c r="D232" s="276">
        <v>3570.1</v>
      </c>
      <c r="E232" s="30">
        <v>60</v>
      </c>
      <c r="F232" s="31">
        <f>ROUND((D232*E232%),0)</f>
        <v>2142</v>
      </c>
      <c r="G232" s="53"/>
      <c r="H232" s="33" t="s">
        <v>43</v>
      </c>
    </row>
    <row r="233" spans="1:8" s="23" customFormat="1" ht="15.75">
      <c r="A233" s="195"/>
      <c r="B233" s="244" t="s">
        <v>230</v>
      </c>
      <c r="C233" s="136" t="s">
        <v>2</v>
      </c>
      <c r="D233" s="276">
        <v>364</v>
      </c>
      <c r="E233" s="30">
        <v>80</v>
      </c>
      <c r="F233" s="31">
        <f>ROUND((D233*E233%),0)</f>
        <v>291</v>
      </c>
      <c r="G233" s="96" t="s">
        <v>247</v>
      </c>
      <c r="H233" s="97" t="s">
        <v>7</v>
      </c>
    </row>
    <row r="234" spans="1:8" s="23" customFormat="1" ht="15.75">
      <c r="A234" s="195"/>
      <c r="B234" s="244" t="s">
        <v>66</v>
      </c>
      <c r="C234" s="136" t="s">
        <v>2</v>
      </c>
      <c r="D234" s="276"/>
      <c r="E234" s="30"/>
      <c r="F234" s="87">
        <f>F231</f>
        <v>252</v>
      </c>
      <c r="G234" s="87"/>
      <c r="H234" s="33" t="s">
        <v>55</v>
      </c>
    </row>
    <row r="235" spans="1:8" s="23" customFormat="1" ht="15.75">
      <c r="A235" s="195"/>
      <c r="B235" s="231" t="s">
        <v>382</v>
      </c>
      <c r="C235" s="75" t="s">
        <v>157</v>
      </c>
      <c r="D235" s="150" t="s">
        <v>286</v>
      </c>
      <c r="E235" s="30">
        <v>20</v>
      </c>
      <c r="F235" s="30">
        <v>1.26</v>
      </c>
      <c r="G235" s="30"/>
      <c r="H235" s="33" t="s">
        <v>55</v>
      </c>
    </row>
    <row r="236" spans="1:8" s="23" customFormat="1" ht="15.75">
      <c r="A236" s="195"/>
      <c r="B236" s="244" t="s">
        <v>65</v>
      </c>
      <c r="C236" s="136" t="s">
        <v>2</v>
      </c>
      <c r="D236" s="277">
        <f>2549.7+762+1239</f>
        <v>4550.7</v>
      </c>
      <c r="E236" s="30">
        <v>60</v>
      </c>
      <c r="F236" s="31">
        <f aca="true" t="shared" si="13" ref="F236:F266">ROUND((D236*E236%),0)</f>
        <v>2730</v>
      </c>
      <c r="G236" s="34" t="s">
        <v>5</v>
      </c>
      <c r="H236" s="98" t="s">
        <v>44</v>
      </c>
    </row>
    <row r="237" spans="1:8" s="23" customFormat="1" ht="15.75">
      <c r="A237" s="195"/>
      <c r="B237" s="231" t="s">
        <v>228</v>
      </c>
      <c r="C237" s="75" t="s">
        <v>2</v>
      </c>
      <c r="D237" s="149">
        <f>31.3+102</f>
        <v>133.3</v>
      </c>
      <c r="E237" s="30">
        <v>100</v>
      </c>
      <c r="F237" s="31">
        <f t="shared" si="13"/>
        <v>133</v>
      </c>
      <c r="G237" s="30"/>
      <c r="H237" s="33" t="s">
        <v>43</v>
      </c>
    </row>
    <row r="238" spans="1:8" s="91" customFormat="1" ht="15.75">
      <c r="A238" s="203"/>
      <c r="B238" s="246" t="s">
        <v>204</v>
      </c>
      <c r="C238" s="208" t="s">
        <v>2</v>
      </c>
      <c r="D238" s="276">
        <f>D236</f>
        <v>4550.7</v>
      </c>
      <c r="E238" s="43">
        <v>30</v>
      </c>
      <c r="F238" s="31">
        <f t="shared" si="13"/>
        <v>1365</v>
      </c>
      <c r="G238" s="99"/>
      <c r="H238" s="89" t="s">
        <v>54</v>
      </c>
    </row>
    <row r="239" spans="1:8" s="101" customFormat="1" ht="15.75">
      <c r="A239" s="187"/>
      <c r="B239" s="224" t="s">
        <v>274</v>
      </c>
      <c r="C239" s="75" t="s">
        <v>2</v>
      </c>
      <c r="D239" s="149">
        <f>D237</f>
        <v>133.3</v>
      </c>
      <c r="E239" s="76">
        <v>100</v>
      </c>
      <c r="F239" s="31">
        <f t="shared" si="13"/>
        <v>133</v>
      </c>
      <c r="G239" s="76"/>
      <c r="H239" s="100" t="s">
        <v>54</v>
      </c>
    </row>
    <row r="240" spans="1:8" s="91" customFormat="1" ht="15.75">
      <c r="A240" s="203"/>
      <c r="B240" s="228" t="s">
        <v>268</v>
      </c>
      <c r="C240" s="136" t="s">
        <v>2</v>
      </c>
      <c r="D240" s="276">
        <f>D238</f>
        <v>4550.7</v>
      </c>
      <c r="E240" s="43">
        <v>30</v>
      </c>
      <c r="F240" s="31">
        <f t="shared" si="13"/>
        <v>1365</v>
      </c>
      <c r="G240" s="102"/>
      <c r="H240" s="90" t="s">
        <v>54</v>
      </c>
    </row>
    <row r="241" spans="1:8" s="91" customFormat="1" ht="15.75">
      <c r="A241" s="203"/>
      <c r="B241" s="244" t="s">
        <v>205</v>
      </c>
      <c r="C241" s="136" t="s">
        <v>2</v>
      </c>
      <c r="D241" s="276">
        <f>D238</f>
        <v>4550.7</v>
      </c>
      <c r="E241" s="30">
        <v>30</v>
      </c>
      <c r="F241" s="31">
        <f t="shared" si="13"/>
        <v>1365</v>
      </c>
      <c r="G241" s="87"/>
      <c r="H241" s="40" t="s">
        <v>54</v>
      </c>
    </row>
    <row r="242" spans="1:8" s="23" customFormat="1" ht="15.75">
      <c r="A242" s="187"/>
      <c r="B242" s="224" t="s">
        <v>294</v>
      </c>
      <c r="C242" s="75" t="s">
        <v>2</v>
      </c>
      <c r="D242" s="149">
        <f>D237</f>
        <v>133.3</v>
      </c>
      <c r="E242" s="30">
        <v>100</v>
      </c>
      <c r="F242" s="31">
        <f t="shared" si="13"/>
        <v>133</v>
      </c>
      <c r="G242" s="30"/>
      <c r="H242" s="40" t="s">
        <v>54</v>
      </c>
    </row>
    <row r="243" spans="1:8" s="91" customFormat="1" ht="15.75">
      <c r="A243" s="203"/>
      <c r="B243" s="231" t="s">
        <v>363</v>
      </c>
      <c r="C243" s="136" t="s">
        <v>2</v>
      </c>
      <c r="D243" s="277">
        <f>1922.3+1850+935</f>
        <v>4707.3</v>
      </c>
      <c r="E243" s="30">
        <v>50</v>
      </c>
      <c r="F243" s="31">
        <f t="shared" si="13"/>
        <v>2354</v>
      </c>
      <c r="G243" s="32"/>
      <c r="H243" s="33" t="s">
        <v>380</v>
      </c>
    </row>
    <row r="244" spans="1:8" s="91" customFormat="1" ht="15.75">
      <c r="A244" s="203"/>
      <c r="B244" s="231" t="s">
        <v>363</v>
      </c>
      <c r="C244" s="136" t="s">
        <v>2</v>
      </c>
      <c r="D244" s="277">
        <f>1922.3+1850+935</f>
        <v>4707.3</v>
      </c>
      <c r="E244" s="30">
        <v>10</v>
      </c>
      <c r="F244" s="31">
        <f t="shared" si="13"/>
        <v>471</v>
      </c>
      <c r="G244" s="32"/>
      <c r="H244" s="33" t="s">
        <v>360</v>
      </c>
    </row>
    <row r="245" spans="1:8" s="91" customFormat="1" ht="15" customHeight="1" thickBot="1">
      <c r="A245" s="201"/>
      <c r="B245" s="247" t="s">
        <v>212</v>
      </c>
      <c r="C245" s="274" t="s">
        <v>2</v>
      </c>
      <c r="D245" s="289">
        <f>D243</f>
        <v>4707.3</v>
      </c>
      <c r="E245" s="69">
        <v>80</v>
      </c>
      <c r="F245" s="56">
        <f t="shared" si="13"/>
        <v>3766</v>
      </c>
      <c r="G245" s="103"/>
      <c r="H245" s="104" t="s">
        <v>198</v>
      </c>
    </row>
    <row r="246" spans="1:8" s="91" customFormat="1" ht="18" customHeight="1" thickBot="1">
      <c r="A246" s="316" t="s">
        <v>19</v>
      </c>
      <c r="B246" s="313" t="s">
        <v>155</v>
      </c>
      <c r="C246" s="317"/>
      <c r="D246" s="318"/>
      <c r="E246" s="319"/>
      <c r="F246" s="319"/>
      <c r="G246" s="319"/>
      <c r="H246" s="320"/>
    </row>
    <row r="247" spans="1:8" s="91" customFormat="1" ht="15" customHeight="1">
      <c r="A247" s="200"/>
      <c r="B247" s="310" t="s">
        <v>278</v>
      </c>
      <c r="C247" s="208" t="s">
        <v>2</v>
      </c>
      <c r="D247" s="276">
        <v>3798</v>
      </c>
      <c r="E247" s="95">
        <v>30</v>
      </c>
      <c r="F247" s="63">
        <f t="shared" si="13"/>
        <v>1139</v>
      </c>
      <c r="G247" s="120" t="s">
        <v>252</v>
      </c>
      <c r="H247" s="97" t="s">
        <v>48</v>
      </c>
    </row>
    <row r="248" spans="1:8" s="91" customFormat="1" ht="15.75">
      <c r="A248" s="200"/>
      <c r="B248" s="175" t="s">
        <v>253</v>
      </c>
      <c r="C248" s="208" t="s">
        <v>2</v>
      </c>
      <c r="D248" s="276">
        <v>3798</v>
      </c>
      <c r="E248" s="95">
        <v>60</v>
      </c>
      <c r="F248" s="31">
        <f t="shared" si="13"/>
        <v>2279</v>
      </c>
      <c r="G248" s="107"/>
      <c r="H248" s="108" t="s">
        <v>48</v>
      </c>
    </row>
    <row r="249" spans="1:8" s="91" customFormat="1" ht="15.75">
      <c r="A249" s="200"/>
      <c r="B249" s="248" t="s">
        <v>219</v>
      </c>
      <c r="C249" s="136" t="s">
        <v>2</v>
      </c>
      <c r="D249" s="277">
        <v>3798</v>
      </c>
      <c r="E249" s="87">
        <v>30</v>
      </c>
      <c r="F249" s="31">
        <f t="shared" si="13"/>
        <v>1139</v>
      </c>
      <c r="G249" s="102"/>
      <c r="H249" s="106" t="s">
        <v>55</v>
      </c>
    </row>
    <row r="250" spans="1:8" s="91" customFormat="1" ht="16.5" thickBot="1">
      <c r="A250" s="201"/>
      <c r="B250" s="249" t="s">
        <v>220</v>
      </c>
      <c r="C250" s="205" t="s">
        <v>2</v>
      </c>
      <c r="D250" s="290">
        <v>3798</v>
      </c>
      <c r="E250" s="109">
        <v>30</v>
      </c>
      <c r="F250" s="56">
        <f t="shared" si="13"/>
        <v>1139</v>
      </c>
      <c r="G250" s="110" t="s">
        <v>252</v>
      </c>
      <c r="H250" s="111" t="s">
        <v>55</v>
      </c>
    </row>
    <row r="251" spans="1:8" s="23" customFormat="1" ht="17.25" customHeight="1" thickBot="1">
      <c r="A251" s="167" t="s">
        <v>20</v>
      </c>
      <c r="B251" s="321" t="s">
        <v>193</v>
      </c>
      <c r="C251" s="217"/>
      <c r="D251" s="282"/>
      <c r="E251" s="155"/>
      <c r="F251" s="155"/>
      <c r="G251" s="155"/>
      <c r="H251" s="156"/>
    </row>
    <row r="252" spans="1:8" s="23" customFormat="1" ht="13.5" customHeight="1">
      <c r="A252" s="187"/>
      <c r="B252" s="176" t="s">
        <v>357</v>
      </c>
      <c r="C252" s="83" t="s">
        <v>2</v>
      </c>
      <c r="D252" s="150">
        <v>46.8</v>
      </c>
      <c r="E252" s="43">
        <v>100</v>
      </c>
      <c r="F252" s="63">
        <f t="shared" si="13"/>
        <v>47</v>
      </c>
      <c r="G252" s="43"/>
      <c r="H252" s="47" t="s">
        <v>48</v>
      </c>
    </row>
    <row r="253" spans="1:8" s="23" customFormat="1" ht="15.75">
      <c r="A253" s="187"/>
      <c r="B253" s="224" t="s">
        <v>228</v>
      </c>
      <c r="C253" s="75" t="s">
        <v>2</v>
      </c>
      <c r="D253" s="150">
        <v>67.5</v>
      </c>
      <c r="E253" s="31">
        <v>100</v>
      </c>
      <c r="F253" s="31">
        <f t="shared" si="13"/>
        <v>68</v>
      </c>
      <c r="G253" s="96"/>
      <c r="H253" s="39" t="s">
        <v>48</v>
      </c>
    </row>
    <row r="254" spans="1:8" s="23" customFormat="1" ht="15.75">
      <c r="A254" s="187"/>
      <c r="B254" s="224" t="s">
        <v>354</v>
      </c>
      <c r="C254" s="75" t="s">
        <v>2</v>
      </c>
      <c r="D254" s="150">
        <v>360</v>
      </c>
      <c r="E254" s="31">
        <v>100</v>
      </c>
      <c r="F254" s="31">
        <f t="shared" si="13"/>
        <v>360</v>
      </c>
      <c r="G254" s="96"/>
      <c r="H254" s="39" t="s">
        <v>48</v>
      </c>
    </row>
    <row r="255" spans="1:8" s="23" customFormat="1" ht="15.75">
      <c r="A255" s="187"/>
      <c r="B255" s="224" t="s">
        <v>355</v>
      </c>
      <c r="C255" s="75" t="s">
        <v>2</v>
      </c>
      <c r="D255" s="150">
        <v>360</v>
      </c>
      <c r="E255" s="31">
        <v>100</v>
      </c>
      <c r="F255" s="31">
        <f t="shared" si="13"/>
        <v>360</v>
      </c>
      <c r="G255" s="96"/>
      <c r="H255" s="40" t="s">
        <v>54</v>
      </c>
    </row>
    <row r="256" spans="1:8" s="23" customFormat="1" ht="15.75">
      <c r="A256" s="187"/>
      <c r="B256" s="224" t="s">
        <v>274</v>
      </c>
      <c r="C256" s="75" t="s">
        <v>2</v>
      </c>
      <c r="D256" s="149">
        <f>D253</f>
        <v>67.5</v>
      </c>
      <c r="E256" s="30">
        <v>100</v>
      </c>
      <c r="F256" s="31">
        <f t="shared" si="13"/>
        <v>68</v>
      </c>
      <c r="G256" s="30"/>
      <c r="H256" s="40" t="s">
        <v>54</v>
      </c>
    </row>
    <row r="257" spans="1:8" s="23" customFormat="1" ht="15.75">
      <c r="A257" s="187"/>
      <c r="B257" s="224" t="s">
        <v>356</v>
      </c>
      <c r="C257" s="75" t="s">
        <v>2</v>
      </c>
      <c r="D257" s="150">
        <v>360</v>
      </c>
      <c r="E257" s="31">
        <v>100</v>
      </c>
      <c r="F257" s="31">
        <f t="shared" si="13"/>
        <v>360</v>
      </c>
      <c r="G257" s="30"/>
      <c r="H257" s="33" t="s">
        <v>55</v>
      </c>
    </row>
    <row r="258" spans="1:8" s="23" customFormat="1" ht="15.75">
      <c r="A258" s="187"/>
      <c r="B258" s="224" t="s">
        <v>294</v>
      </c>
      <c r="C258" s="75" t="s">
        <v>2</v>
      </c>
      <c r="D258" s="149">
        <f>D254</f>
        <v>360</v>
      </c>
      <c r="E258" s="30">
        <v>100</v>
      </c>
      <c r="F258" s="31">
        <f t="shared" si="13"/>
        <v>360</v>
      </c>
      <c r="G258" s="30"/>
      <c r="H258" s="33" t="s">
        <v>55</v>
      </c>
    </row>
    <row r="259" spans="1:8" s="23" customFormat="1" ht="15.75">
      <c r="A259" s="187"/>
      <c r="B259" s="228" t="s">
        <v>386</v>
      </c>
      <c r="C259" s="75" t="s">
        <v>2</v>
      </c>
      <c r="D259" s="149">
        <v>260</v>
      </c>
      <c r="E259" s="30">
        <v>60</v>
      </c>
      <c r="F259" s="31">
        <f t="shared" si="13"/>
        <v>156</v>
      </c>
      <c r="G259" s="53"/>
      <c r="H259" s="33" t="s">
        <v>48</v>
      </c>
    </row>
    <row r="260" spans="1:8" s="23" customFormat="1" ht="15.75">
      <c r="A260" s="187"/>
      <c r="B260" s="228" t="s">
        <v>271</v>
      </c>
      <c r="C260" s="75" t="s">
        <v>2</v>
      </c>
      <c r="D260" s="149">
        <v>26814</v>
      </c>
      <c r="E260" s="30">
        <v>60</v>
      </c>
      <c r="F260" s="31">
        <f t="shared" si="13"/>
        <v>16088</v>
      </c>
      <c r="G260" s="53"/>
      <c r="H260" s="33" t="s">
        <v>51</v>
      </c>
    </row>
    <row r="261" spans="1:8" s="23" customFormat="1" ht="15" customHeight="1" thickBot="1">
      <c r="A261" s="188"/>
      <c r="B261" s="243" t="s">
        <v>212</v>
      </c>
      <c r="C261" s="273" t="s">
        <v>2</v>
      </c>
      <c r="D261" s="288">
        <v>19978</v>
      </c>
      <c r="E261" s="69">
        <v>80</v>
      </c>
      <c r="F261" s="56">
        <f t="shared" si="13"/>
        <v>15982</v>
      </c>
      <c r="G261" s="69"/>
      <c r="H261" s="70" t="s">
        <v>199</v>
      </c>
    </row>
    <row r="262" spans="1:8" s="23" customFormat="1" ht="18" customHeight="1" thickBot="1">
      <c r="A262" s="167" t="s">
        <v>21</v>
      </c>
      <c r="B262" s="264" t="s">
        <v>191</v>
      </c>
      <c r="C262" s="217"/>
      <c r="D262" s="282"/>
      <c r="E262" s="155"/>
      <c r="F262" s="155"/>
      <c r="G262" s="155"/>
      <c r="H262" s="156"/>
    </row>
    <row r="263" spans="1:8" s="23" customFormat="1" ht="15" customHeight="1">
      <c r="A263" s="187"/>
      <c r="B263" s="236" t="s">
        <v>63</v>
      </c>
      <c r="C263" s="83" t="s">
        <v>2</v>
      </c>
      <c r="D263" s="150">
        <v>434505</v>
      </c>
      <c r="E263" s="43">
        <v>40</v>
      </c>
      <c r="F263" s="63">
        <f t="shared" si="13"/>
        <v>173802</v>
      </c>
      <c r="G263" s="92"/>
      <c r="H263" s="47" t="s">
        <v>300</v>
      </c>
    </row>
    <row r="264" spans="1:9" s="23" customFormat="1" ht="15" customHeight="1" thickBot="1">
      <c r="A264" s="188"/>
      <c r="B264" s="240" t="s">
        <v>212</v>
      </c>
      <c r="C264" s="197" t="s">
        <v>2</v>
      </c>
      <c r="D264" s="288">
        <v>434505</v>
      </c>
      <c r="E264" s="55">
        <v>80</v>
      </c>
      <c r="F264" s="56">
        <f t="shared" si="13"/>
        <v>347604</v>
      </c>
      <c r="G264" s="69"/>
      <c r="H264" s="58" t="s">
        <v>199</v>
      </c>
      <c r="I264" s="23" t="s">
        <v>263</v>
      </c>
    </row>
    <row r="265" spans="1:8" s="23" customFormat="1" ht="18" customHeight="1" thickBot="1">
      <c r="A265" s="167" t="s">
        <v>22</v>
      </c>
      <c r="B265" s="322" t="s">
        <v>257</v>
      </c>
      <c r="C265" s="217"/>
      <c r="D265" s="282"/>
      <c r="E265" s="155"/>
      <c r="F265" s="155"/>
      <c r="G265" s="155"/>
      <c r="H265" s="156"/>
    </row>
    <row r="266" spans="1:8" s="23" customFormat="1" ht="15" customHeight="1">
      <c r="A266" s="187"/>
      <c r="B266" s="234" t="s">
        <v>256</v>
      </c>
      <c r="C266" s="83" t="s">
        <v>2</v>
      </c>
      <c r="D266" s="150">
        <f>(12787.5+2604.2)</f>
        <v>15391.7</v>
      </c>
      <c r="E266" s="43">
        <v>60</v>
      </c>
      <c r="F266" s="63">
        <f t="shared" si="13"/>
        <v>9235</v>
      </c>
      <c r="G266" s="92"/>
      <c r="H266" s="40" t="s">
        <v>53</v>
      </c>
    </row>
    <row r="267" spans="1:8" s="23" customFormat="1" ht="15" customHeight="1">
      <c r="A267" s="187"/>
      <c r="B267" s="250" t="s">
        <v>206</v>
      </c>
      <c r="C267" s="83" t="s">
        <v>379</v>
      </c>
      <c r="D267" s="149"/>
      <c r="E267" s="30"/>
      <c r="F267" s="31">
        <v>1098</v>
      </c>
      <c r="G267" s="53"/>
      <c r="H267" s="33"/>
    </row>
    <row r="268" spans="1:8" s="23" customFormat="1" ht="15" customHeight="1">
      <c r="A268" s="187"/>
      <c r="B268" s="245" t="s">
        <v>231</v>
      </c>
      <c r="C268" s="208" t="s">
        <v>2</v>
      </c>
      <c r="D268" s="73" t="s">
        <v>345</v>
      </c>
      <c r="E268" s="34"/>
      <c r="F268" s="35">
        <v>658.8</v>
      </c>
      <c r="G268" s="53"/>
      <c r="H268" s="33" t="s">
        <v>53</v>
      </c>
    </row>
    <row r="269" spans="1:8" s="23" customFormat="1" ht="15" customHeight="1">
      <c r="A269" s="187"/>
      <c r="B269" s="224" t="s">
        <v>205</v>
      </c>
      <c r="C269" s="75" t="s">
        <v>2</v>
      </c>
      <c r="D269" s="149">
        <v>2604.2</v>
      </c>
      <c r="E269" s="45">
        <v>40</v>
      </c>
      <c r="F269" s="31">
        <f>ROUND((D269*E269%),0)</f>
        <v>1042</v>
      </c>
      <c r="G269" s="53"/>
      <c r="H269" s="106" t="s">
        <v>55</v>
      </c>
    </row>
    <row r="270" spans="1:8" s="23" customFormat="1" ht="15" customHeight="1">
      <c r="A270" s="187"/>
      <c r="B270" s="176" t="s">
        <v>211</v>
      </c>
      <c r="C270" s="83" t="s">
        <v>2</v>
      </c>
      <c r="D270" s="149">
        <v>2604.2</v>
      </c>
      <c r="E270" s="30">
        <v>30</v>
      </c>
      <c r="F270" s="31">
        <f>ROUND((D270*E270%),0)</f>
        <v>781</v>
      </c>
      <c r="G270" s="53"/>
      <c r="H270" s="39" t="s">
        <v>300</v>
      </c>
    </row>
    <row r="271" spans="1:8" s="23" customFormat="1" ht="15" customHeight="1" thickBot="1">
      <c r="A271" s="188"/>
      <c r="B271" s="240" t="s">
        <v>212</v>
      </c>
      <c r="C271" s="197" t="s">
        <v>2</v>
      </c>
      <c r="D271" s="288">
        <v>12787.5</v>
      </c>
      <c r="E271" s="69">
        <v>95</v>
      </c>
      <c r="F271" s="31">
        <f>ROUND((D271*E271%),0)</f>
        <v>12148</v>
      </c>
      <c r="G271" s="69"/>
      <c r="H271" s="84" t="s">
        <v>199</v>
      </c>
    </row>
    <row r="272" spans="1:8" s="23" customFormat="1" ht="18.75" customHeight="1" thickBot="1">
      <c r="A272" s="167" t="s">
        <v>197</v>
      </c>
      <c r="B272" s="264" t="s">
        <v>171</v>
      </c>
      <c r="C272" s="217"/>
      <c r="D272" s="282"/>
      <c r="E272" s="155"/>
      <c r="F272" s="155"/>
      <c r="G272" s="155"/>
      <c r="H272" s="156"/>
    </row>
    <row r="273" spans="1:8" s="23" customFormat="1" ht="16.5" customHeight="1">
      <c r="A273" s="195"/>
      <c r="B273" s="239" t="s">
        <v>206</v>
      </c>
      <c r="C273" s="83" t="s">
        <v>379</v>
      </c>
      <c r="D273" s="150"/>
      <c r="E273" s="43"/>
      <c r="F273" s="43">
        <v>590</v>
      </c>
      <c r="G273" s="43"/>
      <c r="H273" s="40"/>
    </row>
    <row r="274" spans="1:8" s="23" customFormat="1" ht="15.75" customHeight="1">
      <c r="A274" s="187"/>
      <c r="B274" s="176" t="s">
        <v>216</v>
      </c>
      <c r="C274" s="83" t="s">
        <v>2</v>
      </c>
      <c r="D274" s="73" t="s">
        <v>324</v>
      </c>
      <c r="E274" s="34"/>
      <c r="F274" s="43">
        <f>F273*0.6</f>
        <v>354</v>
      </c>
      <c r="G274" s="112" t="s">
        <v>247</v>
      </c>
      <c r="H274" s="47" t="s">
        <v>152</v>
      </c>
    </row>
    <row r="275" spans="1:8" s="23" customFormat="1" ht="16.5" customHeight="1" thickBot="1">
      <c r="A275" s="188"/>
      <c r="B275" s="235" t="s">
        <v>231</v>
      </c>
      <c r="C275" s="273" t="s">
        <v>2</v>
      </c>
      <c r="D275" s="288">
        <v>5071.7</v>
      </c>
      <c r="E275" s="69">
        <v>60</v>
      </c>
      <c r="F275" s="56">
        <f>ROUND((D275*E275%),0)</f>
        <v>3043</v>
      </c>
      <c r="G275" s="113"/>
      <c r="H275" s="58" t="s">
        <v>152</v>
      </c>
    </row>
    <row r="276" spans="1:8" s="23" customFormat="1" ht="18" customHeight="1" thickBot="1">
      <c r="A276" s="167" t="s">
        <v>23</v>
      </c>
      <c r="B276" s="264" t="s">
        <v>26</v>
      </c>
      <c r="C276" s="217"/>
      <c r="D276" s="282"/>
      <c r="E276" s="155"/>
      <c r="F276" s="155"/>
      <c r="G276" s="155"/>
      <c r="H276" s="156"/>
    </row>
    <row r="277" spans="1:8" s="23" customFormat="1" ht="15.75">
      <c r="A277" s="187"/>
      <c r="B277" s="236" t="s">
        <v>62</v>
      </c>
      <c r="C277" s="83" t="s">
        <v>2</v>
      </c>
      <c r="D277" s="150">
        <f>D286+D283</f>
        <v>14191</v>
      </c>
      <c r="E277" s="43">
        <v>60</v>
      </c>
      <c r="F277" s="63">
        <f>ROUND((D277*E277%),0)</f>
        <v>8515</v>
      </c>
      <c r="G277" s="92"/>
      <c r="H277" s="47" t="s">
        <v>200</v>
      </c>
    </row>
    <row r="278" spans="1:8" s="23" customFormat="1" ht="15.75">
      <c r="A278" s="187"/>
      <c r="B278" s="224" t="s">
        <v>206</v>
      </c>
      <c r="C278" s="75" t="s">
        <v>379</v>
      </c>
      <c r="D278" s="149"/>
      <c r="E278" s="30"/>
      <c r="F278" s="30">
        <v>636.7</v>
      </c>
      <c r="G278" s="30"/>
      <c r="H278" s="33"/>
    </row>
    <row r="279" spans="1:8" s="23" customFormat="1" ht="15.75">
      <c r="A279" s="187"/>
      <c r="B279" s="176" t="s">
        <v>216</v>
      </c>
      <c r="C279" s="83" t="s">
        <v>2</v>
      </c>
      <c r="D279" s="73" t="s">
        <v>325</v>
      </c>
      <c r="E279" s="34"/>
      <c r="F279" s="43">
        <v>382</v>
      </c>
      <c r="G279" s="112" t="s">
        <v>247</v>
      </c>
      <c r="H279" s="47" t="s">
        <v>200</v>
      </c>
    </row>
    <row r="280" spans="1:8" s="23" customFormat="1" ht="15.75">
      <c r="A280" s="187"/>
      <c r="B280" s="224" t="s">
        <v>223</v>
      </c>
      <c r="C280" s="75" t="s">
        <v>11</v>
      </c>
      <c r="D280" s="149">
        <v>2</v>
      </c>
      <c r="E280" s="30">
        <v>100</v>
      </c>
      <c r="F280" s="30">
        <v>2</v>
      </c>
      <c r="G280" s="30"/>
      <c r="H280" s="39" t="s">
        <v>387</v>
      </c>
    </row>
    <row r="281" spans="1:8" s="23" customFormat="1" ht="15.75">
      <c r="A281" s="187"/>
      <c r="B281" s="251" t="s">
        <v>390</v>
      </c>
      <c r="C281" s="208" t="s">
        <v>2</v>
      </c>
      <c r="D281" s="276">
        <v>110</v>
      </c>
      <c r="E281" s="43">
        <v>100</v>
      </c>
      <c r="F281" s="31">
        <f aca="true" t="shared" si="14" ref="F281:F286">ROUND((D281*E281%),0)</f>
        <v>110</v>
      </c>
      <c r="G281" s="112" t="s">
        <v>247</v>
      </c>
      <c r="H281" s="97" t="s">
        <v>337</v>
      </c>
    </row>
    <row r="282" spans="1:8" s="23" customFormat="1" ht="15.75">
      <c r="A282" s="187"/>
      <c r="B282" s="252" t="s">
        <v>231</v>
      </c>
      <c r="C282" s="272" t="s">
        <v>2</v>
      </c>
      <c r="D282" s="150">
        <v>4950</v>
      </c>
      <c r="E282" s="43">
        <v>60</v>
      </c>
      <c r="F282" s="31">
        <f t="shared" si="14"/>
        <v>2970</v>
      </c>
      <c r="G282" s="92"/>
      <c r="H282" s="47" t="s">
        <v>200</v>
      </c>
    </row>
    <row r="283" spans="1:8" s="23" customFormat="1" ht="15.75">
      <c r="A283" s="187"/>
      <c r="B283" s="224" t="s">
        <v>211</v>
      </c>
      <c r="C283" s="75" t="s">
        <v>2</v>
      </c>
      <c r="D283" s="150">
        <v>1368</v>
      </c>
      <c r="E283" s="30">
        <v>40</v>
      </c>
      <c r="F283" s="31">
        <f t="shared" si="14"/>
        <v>547</v>
      </c>
      <c r="G283" s="34" t="s">
        <v>5</v>
      </c>
      <c r="H283" s="39" t="s">
        <v>200</v>
      </c>
    </row>
    <row r="284" spans="1:8" s="91" customFormat="1" ht="15.75">
      <c r="A284" s="200"/>
      <c r="B284" s="253" t="s">
        <v>204</v>
      </c>
      <c r="C284" s="208" t="s">
        <v>2</v>
      </c>
      <c r="D284" s="276">
        <f>D283</f>
        <v>1368</v>
      </c>
      <c r="E284" s="43">
        <v>40</v>
      </c>
      <c r="F284" s="31">
        <f t="shared" si="14"/>
        <v>547</v>
      </c>
      <c r="G284" s="99"/>
      <c r="H284" s="89" t="s">
        <v>54</v>
      </c>
    </row>
    <row r="285" spans="1:8" s="91" customFormat="1" ht="15.75">
      <c r="A285" s="200"/>
      <c r="B285" s="242" t="s">
        <v>205</v>
      </c>
      <c r="C285" s="136" t="s">
        <v>2</v>
      </c>
      <c r="D285" s="276">
        <f>D284</f>
        <v>1368</v>
      </c>
      <c r="E285" s="30">
        <v>40</v>
      </c>
      <c r="F285" s="31">
        <f t="shared" si="14"/>
        <v>547</v>
      </c>
      <c r="G285" s="87"/>
      <c r="H285" s="90" t="s">
        <v>55</v>
      </c>
    </row>
    <row r="286" spans="1:8" s="23" customFormat="1" ht="16.5" thickBot="1">
      <c r="A286" s="188"/>
      <c r="B286" s="237" t="s">
        <v>212</v>
      </c>
      <c r="C286" s="197" t="s">
        <v>2</v>
      </c>
      <c r="D286" s="288">
        <v>12823</v>
      </c>
      <c r="E286" s="69">
        <v>100</v>
      </c>
      <c r="F286" s="56">
        <f t="shared" si="14"/>
        <v>12823</v>
      </c>
      <c r="G286" s="69"/>
      <c r="H286" s="84" t="s">
        <v>198</v>
      </c>
    </row>
    <row r="287" spans="1:8" s="23" customFormat="1" ht="16.5" customHeight="1" thickBot="1">
      <c r="A287" s="167" t="s">
        <v>24</v>
      </c>
      <c r="B287" s="264" t="s">
        <v>388</v>
      </c>
      <c r="C287" s="217"/>
      <c r="D287" s="282"/>
      <c r="E287" s="155"/>
      <c r="F287" s="155"/>
      <c r="G287" s="155"/>
      <c r="H287" s="156"/>
    </row>
    <row r="288" spans="1:8" s="23" customFormat="1" ht="15.75">
      <c r="A288" s="187"/>
      <c r="B288" s="176" t="s">
        <v>206</v>
      </c>
      <c r="C288" s="83" t="s">
        <v>379</v>
      </c>
      <c r="D288" s="150"/>
      <c r="E288" s="43"/>
      <c r="F288" s="43">
        <v>369.2</v>
      </c>
      <c r="G288" s="43"/>
      <c r="H288" s="40"/>
    </row>
    <row r="289" spans="1:8" s="23" customFormat="1" ht="15.75">
      <c r="A289" s="187"/>
      <c r="B289" s="224" t="s">
        <v>216</v>
      </c>
      <c r="C289" s="75" t="s">
        <v>2</v>
      </c>
      <c r="D289" s="73" t="s">
        <v>326</v>
      </c>
      <c r="E289" s="34"/>
      <c r="F289" s="63">
        <f>F288*0.6</f>
        <v>221.51999999999998</v>
      </c>
      <c r="G289" s="96" t="s">
        <v>247</v>
      </c>
      <c r="H289" s="39" t="s">
        <v>50</v>
      </c>
    </row>
    <row r="290" spans="1:8" s="23" customFormat="1" ht="16.5" thickBot="1">
      <c r="A290" s="188"/>
      <c r="B290" s="235" t="s">
        <v>231</v>
      </c>
      <c r="C290" s="273" t="s">
        <v>2</v>
      </c>
      <c r="D290" s="288">
        <v>2340.6</v>
      </c>
      <c r="E290" s="69">
        <v>60</v>
      </c>
      <c r="F290" s="31">
        <f>ROUND((D290*E290%),0)</f>
        <v>1404</v>
      </c>
      <c r="G290" s="113"/>
      <c r="H290" s="58" t="s">
        <v>152</v>
      </c>
    </row>
    <row r="291" spans="1:8" s="23" customFormat="1" ht="19.5" customHeight="1" thickBot="1">
      <c r="A291" s="167" t="s">
        <v>25</v>
      </c>
      <c r="B291" s="264" t="s">
        <v>389</v>
      </c>
      <c r="C291" s="217"/>
      <c r="D291" s="282"/>
      <c r="E291" s="155"/>
      <c r="F291" s="155"/>
      <c r="G291" s="155"/>
      <c r="H291" s="156"/>
    </row>
    <row r="292" spans="1:8" s="23" customFormat="1" ht="13.5" customHeight="1">
      <c r="A292" s="187"/>
      <c r="B292" s="176" t="s">
        <v>206</v>
      </c>
      <c r="C292" s="83" t="s">
        <v>379</v>
      </c>
      <c r="D292" s="150"/>
      <c r="E292" s="43"/>
      <c r="F292" s="43">
        <v>368</v>
      </c>
      <c r="G292" s="43"/>
      <c r="H292" s="40"/>
    </row>
    <row r="293" spans="1:8" s="23" customFormat="1" ht="15.75">
      <c r="A293" s="187"/>
      <c r="B293" s="224" t="s">
        <v>216</v>
      </c>
      <c r="C293" s="75" t="s">
        <v>2</v>
      </c>
      <c r="D293" s="73" t="s">
        <v>327</v>
      </c>
      <c r="E293" s="34"/>
      <c r="F293" s="63">
        <f>F292*0.6</f>
        <v>220.79999999999998</v>
      </c>
      <c r="G293" s="96" t="s">
        <v>247</v>
      </c>
      <c r="H293" s="39" t="s">
        <v>50</v>
      </c>
    </row>
    <row r="294" spans="1:8" s="23" customFormat="1" ht="16.5" thickBot="1">
      <c r="A294" s="188"/>
      <c r="B294" s="235" t="s">
        <v>231</v>
      </c>
      <c r="C294" s="273" t="s">
        <v>2</v>
      </c>
      <c r="D294" s="288">
        <v>2338.6</v>
      </c>
      <c r="E294" s="69">
        <v>60</v>
      </c>
      <c r="F294" s="56">
        <f>ROUND((D294*E294%),0)</f>
        <v>1403</v>
      </c>
      <c r="G294" s="113"/>
      <c r="H294" s="58" t="s">
        <v>152</v>
      </c>
    </row>
    <row r="295" spans="1:8" s="23" customFormat="1" ht="19.5" customHeight="1" thickBot="1">
      <c r="A295" s="167" t="s">
        <v>27</v>
      </c>
      <c r="B295" s="264" t="s">
        <v>302</v>
      </c>
      <c r="C295" s="217"/>
      <c r="D295" s="282"/>
      <c r="E295" s="155"/>
      <c r="F295" s="155"/>
      <c r="G295" s="155"/>
      <c r="H295" s="156"/>
    </row>
    <row r="296" spans="1:8" s="23" customFormat="1" ht="13.5" customHeight="1">
      <c r="A296" s="187"/>
      <c r="B296" s="176" t="s">
        <v>206</v>
      </c>
      <c r="C296" s="83" t="s">
        <v>1</v>
      </c>
      <c r="D296" s="150"/>
      <c r="E296" s="43"/>
      <c r="F296" s="43">
        <v>790</v>
      </c>
      <c r="G296" s="43"/>
      <c r="H296" s="40"/>
    </row>
    <row r="297" spans="1:8" s="23" customFormat="1" ht="15.75">
      <c r="A297" s="187"/>
      <c r="B297" s="224" t="s">
        <v>216</v>
      </c>
      <c r="C297" s="75" t="s">
        <v>2</v>
      </c>
      <c r="D297" s="73" t="s">
        <v>328</v>
      </c>
      <c r="E297" s="34"/>
      <c r="F297" s="43">
        <f>F296*0.6</f>
        <v>474</v>
      </c>
      <c r="G297" s="96" t="s">
        <v>247</v>
      </c>
      <c r="H297" s="39" t="s">
        <v>50</v>
      </c>
    </row>
    <row r="298" spans="1:8" s="23" customFormat="1" ht="15.75">
      <c r="A298" s="187"/>
      <c r="B298" s="176" t="s">
        <v>223</v>
      </c>
      <c r="C298" s="83" t="s">
        <v>11</v>
      </c>
      <c r="D298" s="150">
        <v>1</v>
      </c>
      <c r="E298" s="30">
        <v>100</v>
      </c>
      <c r="F298" s="43">
        <v>1</v>
      </c>
      <c r="G298" s="43"/>
      <c r="H298" s="47" t="s">
        <v>336</v>
      </c>
    </row>
    <row r="299" spans="1:8" s="23" customFormat="1" ht="15.75">
      <c r="A299" s="187"/>
      <c r="B299" s="242" t="s">
        <v>230</v>
      </c>
      <c r="C299" s="136" t="s">
        <v>2</v>
      </c>
      <c r="D299" s="276">
        <v>47</v>
      </c>
      <c r="E299" s="30">
        <v>100</v>
      </c>
      <c r="F299" s="31">
        <f>ROUND((D299*E299%),0)</f>
        <v>47</v>
      </c>
      <c r="G299" s="96" t="s">
        <v>247</v>
      </c>
      <c r="H299" s="97" t="s">
        <v>180</v>
      </c>
    </row>
    <row r="300" spans="1:8" s="23" customFormat="1" ht="16.5" thickBot="1">
      <c r="A300" s="188"/>
      <c r="B300" s="235" t="s">
        <v>231</v>
      </c>
      <c r="C300" s="273" t="s">
        <v>2</v>
      </c>
      <c r="D300" s="288">
        <v>6797.1</v>
      </c>
      <c r="E300" s="69">
        <v>60</v>
      </c>
      <c r="F300" s="31">
        <f>ROUND((D300*E300%),0)</f>
        <v>4078</v>
      </c>
      <c r="G300" s="113"/>
      <c r="H300" s="58" t="s">
        <v>152</v>
      </c>
    </row>
    <row r="301" spans="1:8" s="23" customFormat="1" ht="16.5" thickBot="1">
      <c r="A301" s="167" t="s">
        <v>28</v>
      </c>
      <c r="B301" s="264" t="s">
        <v>172</v>
      </c>
      <c r="C301" s="217"/>
      <c r="D301" s="282"/>
      <c r="E301" s="155"/>
      <c r="F301" s="155"/>
      <c r="G301" s="155"/>
      <c r="H301" s="156"/>
    </row>
    <row r="302" spans="1:8" s="23" customFormat="1" ht="15.75">
      <c r="A302" s="187"/>
      <c r="B302" s="176" t="s">
        <v>206</v>
      </c>
      <c r="C302" s="83" t="s">
        <v>1</v>
      </c>
      <c r="D302" s="150"/>
      <c r="E302" s="43"/>
      <c r="F302" s="43">
        <v>658.33</v>
      </c>
      <c r="G302" s="43"/>
      <c r="H302" s="40"/>
    </row>
    <row r="303" spans="1:8" s="23" customFormat="1" ht="15.75">
      <c r="A303" s="187"/>
      <c r="B303" s="224" t="s">
        <v>216</v>
      </c>
      <c r="C303" s="75" t="s">
        <v>2</v>
      </c>
      <c r="D303" s="73" t="s">
        <v>329</v>
      </c>
      <c r="E303" s="54"/>
      <c r="F303" s="63">
        <f>F302*0.6</f>
        <v>394.998</v>
      </c>
      <c r="G303" s="96" t="s">
        <v>247</v>
      </c>
      <c r="H303" s="39" t="s">
        <v>50</v>
      </c>
    </row>
    <row r="304" spans="1:8" s="23" customFormat="1" ht="15.75">
      <c r="A304" s="187"/>
      <c r="B304" s="176" t="s">
        <v>223</v>
      </c>
      <c r="C304" s="83" t="s">
        <v>11</v>
      </c>
      <c r="D304" s="150">
        <v>1</v>
      </c>
      <c r="E304" s="30">
        <v>100</v>
      </c>
      <c r="F304" s="43">
        <v>1</v>
      </c>
      <c r="G304" s="43"/>
      <c r="H304" s="47" t="s">
        <v>336</v>
      </c>
    </row>
    <row r="305" spans="1:8" s="23" customFormat="1" ht="15.75">
      <c r="A305" s="187"/>
      <c r="B305" s="242" t="s">
        <v>230</v>
      </c>
      <c r="C305" s="136" t="s">
        <v>2</v>
      </c>
      <c r="D305" s="276">
        <v>36.62</v>
      </c>
      <c r="E305" s="30">
        <v>100</v>
      </c>
      <c r="F305" s="115">
        <f>D305*E305%</f>
        <v>36.62</v>
      </c>
      <c r="G305" s="96" t="s">
        <v>247</v>
      </c>
      <c r="H305" s="97" t="s">
        <v>180</v>
      </c>
    </row>
    <row r="306" spans="1:8" s="23" customFormat="1" ht="16.5" thickBot="1">
      <c r="A306" s="188"/>
      <c r="B306" s="235" t="s">
        <v>231</v>
      </c>
      <c r="C306" s="273" t="s">
        <v>2</v>
      </c>
      <c r="D306" s="288">
        <v>3950</v>
      </c>
      <c r="E306" s="69">
        <v>60</v>
      </c>
      <c r="F306" s="31">
        <f>ROUND((D306*E306%),0)</f>
        <v>2370</v>
      </c>
      <c r="G306" s="113"/>
      <c r="H306" s="58" t="s">
        <v>152</v>
      </c>
    </row>
    <row r="307" spans="1:8" s="23" customFormat="1" ht="16.5" thickBot="1">
      <c r="A307" s="167" t="s">
        <v>29</v>
      </c>
      <c r="B307" s="264" t="s">
        <v>173</v>
      </c>
      <c r="C307" s="217"/>
      <c r="D307" s="282"/>
      <c r="E307" s="155"/>
      <c r="F307" s="155"/>
      <c r="G307" s="155"/>
      <c r="H307" s="156"/>
    </row>
    <row r="308" spans="1:8" s="23" customFormat="1" ht="12.75" customHeight="1">
      <c r="A308" s="187"/>
      <c r="B308" s="176" t="s">
        <v>206</v>
      </c>
      <c r="C308" s="83" t="s">
        <v>1</v>
      </c>
      <c r="D308" s="150"/>
      <c r="E308" s="43"/>
      <c r="F308" s="43">
        <v>574.5</v>
      </c>
      <c r="G308" s="43"/>
      <c r="H308" s="40"/>
    </row>
    <row r="309" spans="1:8" s="23" customFormat="1" ht="15.75">
      <c r="A309" s="187"/>
      <c r="B309" s="224" t="s">
        <v>216</v>
      </c>
      <c r="C309" s="75" t="s">
        <v>2</v>
      </c>
      <c r="D309" s="361" t="s">
        <v>330</v>
      </c>
      <c r="E309" s="362"/>
      <c r="F309" s="43">
        <f>F308*0.6</f>
        <v>344.7</v>
      </c>
      <c r="G309" s="96" t="s">
        <v>247</v>
      </c>
      <c r="H309" s="39" t="s">
        <v>50</v>
      </c>
    </row>
    <row r="310" spans="1:8" s="23" customFormat="1" ht="16.5" thickBot="1">
      <c r="A310" s="188"/>
      <c r="B310" s="235" t="s">
        <v>231</v>
      </c>
      <c r="C310" s="273" t="s">
        <v>2</v>
      </c>
      <c r="D310" s="288">
        <v>4200</v>
      </c>
      <c r="E310" s="69">
        <v>60</v>
      </c>
      <c r="F310" s="56">
        <f>ROUND((D310*E310%),0)</f>
        <v>2520</v>
      </c>
      <c r="G310" s="113"/>
      <c r="H310" s="58" t="s">
        <v>152</v>
      </c>
    </row>
    <row r="311" spans="1:8" s="23" customFormat="1" ht="18" customHeight="1" thickBot="1">
      <c r="A311" s="167" t="s">
        <v>30</v>
      </c>
      <c r="B311" s="264" t="s">
        <v>174</v>
      </c>
      <c r="C311" s="217"/>
      <c r="D311" s="282"/>
      <c r="E311" s="155"/>
      <c r="F311" s="155"/>
      <c r="G311" s="155"/>
      <c r="H311" s="156"/>
    </row>
    <row r="312" spans="1:8" s="23" customFormat="1" ht="15.75">
      <c r="A312" s="187"/>
      <c r="B312" s="176" t="s">
        <v>206</v>
      </c>
      <c r="C312" s="83" t="s">
        <v>1</v>
      </c>
      <c r="D312" s="150"/>
      <c r="E312" s="43"/>
      <c r="F312" s="43">
        <v>574.5</v>
      </c>
      <c r="G312" s="43"/>
      <c r="H312" s="40"/>
    </row>
    <row r="313" spans="1:8" s="23" customFormat="1" ht="15.75">
      <c r="A313" s="187"/>
      <c r="B313" s="224" t="s">
        <v>216</v>
      </c>
      <c r="C313" s="75" t="s">
        <v>2</v>
      </c>
      <c r="D313" s="150">
        <v>3447</v>
      </c>
      <c r="E313" s="30">
        <f>F313/D313%</f>
        <v>10</v>
      </c>
      <c r="F313" s="43">
        <f>F312*0.6</f>
        <v>344.7</v>
      </c>
      <c r="G313" s="96" t="s">
        <v>247</v>
      </c>
      <c r="H313" s="39" t="s">
        <v>50</v>
      </c>
    </row>
    <row r="314" spans="1:8" s="23" customFormat="1" ht="16.5" thickBot="1">
      <c r="A314" s="188"/>
      <c r="B314" s="235" t="s">
        <v>231</v>
      </c>
      <c r="C314" s="273" t="s">
        <v>2</v>
      </c>
      <c r="D314" s="288">
        <f>D313</f>
        <v>3447</v>
      </c>
      <c r="E314" s="69">
        <v>60</v>
      </c>
      <c r="F314" s="56">
        <f>ROUND((D314*E314%),0)</f>
        <v>2068</v>
      </c>
      <c r="G314" s="113"/>
      <c r="H314" s="58" t="s">
        <v>152</v>
      </c>
    </row>
    <row r="315" spans="1:8" s="23" customFormat="1" ht="21" customHeight="1" thickBot="1">
      <c r="A315" s="167" t="s">
        <v>31</v>
      </c>
      <c r="B315" s="264" t="s">
        <v>175</v>
      </c>
      <c r="C315" s="217"/>
      <c r="D315" s="282"/>
      <c r="E315" s="155"/>
      <c r="F315" s="155"/>
      <c r="G315" s="155"/>
      <c r="H315" s="156"/>
    </row>
    <row r="316" spans="1:8" s="23" customFormat="1" ht="15.75">
      <c r="A316" s="187"/>
      <c r="B316" s="176" t="s">
        <v>206</v>
      </c>
      <c r="C316" s="83" t="s">
        <v>1</v>
      </c>
      <c r="D316" s="150"/>
      <c r="E316" s="43"/>
      <c r="F316" s="43">
        <v>726.67</v>
      </c>
      <c r="G316" s="43"/>
      <c r="H316" s="40"/>
    </row>
    <row r="317" spans="1:8" s="23" customFormat="1" ht="15.75">
      <c r="A317" s="187"/>
      <c r="B317" s="224" t="s">
        <v>216</v>
      </c>
      <c r="C317" s="75" t="s">
        <v>2</v>
      </c>
      <c r="D317" s="361" t="s">
        <v>331</v>
      </c>
      <c r="E317" s="362"/>
      <c r="F317" s="63">
        <f>F316*0.6</f>
        <v>436.00199999999995</v>
      </c>
      <c r="G317" s="96" t="s">
        <v>247</v>
      </c>
      <c r="H317" s="39" t="s">
        <v>50</v>
      </c>
    </row>
    <row r="318" spans="1:8" s="23" customFormat="1" ht="15.75">
      <c r="A318" s="187"/>
      <c r="B318" s="176" t="s">
        <v>223</v>
      </c>
      <c r="C318" s="83" t="s">
        <v>11</v>
      </c>
      <c r="D318" s="150">
        <v>1</v>
      </c>
      <c r="E318" s="30">
        <v>100</v>
      </c>
      <c r="F318" s="43">
        <v>1</v>
      </c>
      <c r="G318" s="43"/>
      <c r="H318" s="47" t="s">
        <v>387</v>
      </c>
    </row>
    <row r="319" spans="1:8" s="23" customFormat="1" ht="15.75">
      <c r="A319" s="187"/>
      <c r="B319" s="242" t="s">
        <v>230</v>
      </c>
      <c r="C319" s="136" t="s">
        <v>2</v>
      </c>
      <c r="D319" s="276">
        <v>175</v>
      </c>
      <c r="E319" s="30">
        <v>100</v>
      </c>
      <c r="F319" s="116">
        <f>D319*E319%</f>
        <v>175</v>
      </c>
      <c r="G319" s="96" t="s">
        <v>247</v>
      </c>
      <c r="H319" s="97" t="s">
        <v>180</v>
      </c>
    </row>
    <row r="320" spans="1:8" s="23" customFormat="1" ht="16.5" thickBot="1">
      <c r="A320" s="188"/>
      <c r="B320" s="235" t="s">
        <v>231</v>
      </c>
      <c r="C320" s="273" t="s">
        <v>2</v>
      </c>
      <c r="D320" s="288">
        <v>4360</v>
      </c>
      <c r="E320" s="69">
        <v>60</v>
      </c>
      <c r="F320" s="56">
        <f>ROUND((D320*E320%),0)</f>
        <v>2616</v>
      </c>
      <c r="G320" s="113"/>
      <c r="H320" s="58" t="s">
        <v>152</v>
      </c>
    </row>
    <row r="321" spans="1:8" s="23" customFormat="1" ht="16.5" thickBot="1">
      <c r="A321" s="167" t="s">
        <v>32</v>
      </c>
      <c r="B321" s="264" t="s">
        <v>176</v>
      </c>
      <c r="C321" s="217"/>
      <c r="D321" s="282"/>
      <c r="E321" s="155"/>
      <c r="F321" s="155"/>
      <c r="G321" s="155"/>
      <c r="H321" s="156"/>
    </row>
    <row r="322" spans="1:8" s="23" customFormat="1" ht="15.75">
      <c r="A322" s="187"/>
      <c r="B322" s="176" t="s">
        <v>206</v>
      </c>
      <c r="C322" s="83" t="s">
        <v>1</v>
      </c>
      <c r="D322" s="150"/>
      <c r="E322" s="43"/>
      <c r="F322" s="43">
        <v>795</v>
      </c>
      <c r="G322" s="43"/>
      <c r="H322" s="40"/>
    </row>
    <row r="323" spans="1:8" s="23" customFormat="1" ht="15.75">
      <c r="A323" s="187"/>
      <c r="B323" s="224" t="s">
        <v>216</v>
      </c>
      <c r="C323" s="75" t="s">
        <v>2</v>
      </c>
      <c r="D323" s="361" t="s">
        <v>332</v>
      </c>
      <c r="E323" s="362"/>
      <c r="F323" s="63">
        <f>F322*0.6</f>
        <v>477</v>
      </c>
      <c r="G323" s="96" t="s">
        <v>247</v>
      </c>
      <c r="H323" s="39" t="s">
        <v>50</v>
      </c>
    </row>
    <row r="324" spans="1:8" s="23" customFormat="1" ht="15.75" customHeight="1" thickBot="1">
      <c r="A324" s="188"/>
      <c r="B324" s="235" t="s">
        <v>231</v>
      </c>
      <c r="C324" s="273" t="s">
        <v>2</v>
      </c>
      <c r="D324" s="288">
        <v>5352.8</v>
      </c>
      <c r="E324" s="69">
        <v>60</v>
      </c>
      <c r="F324" s="56">
        <f>ROUND((D324*E324%),0)</f>
        <v>3212</v>
      </c>
      <c r="G324" s="113"/>
      <c r="H324" s="58" t="s">
        <v>152</v>
      </c>
    </row>
    <row r="325" spans="1:8" s="23" customFormat="1" ht="18" customHeight="1" thickBot="1">
      <c r="A325" s="167" t="s">
        <v>195</v>
      </c>
      <c r="B325" s="264" t="s">
        <v>177</v>
      </c>
      <c r="C325" s="217"/>
      <c r="D325" s="282"/>
      <c r="E325" s="155"/>
      <c r="F325" s="155"/>
      <c r="G325" s="155"/>
      <c r="H325" s="156"/>
    </row>
    <row r="326" spans="1:8" s="23" customFormat="1" ht="15.75">
      <c r="A326" s="195"/>
      <c r="B326" s="239" t="s">
        <v>206</v>
      </c>
      <c r="C326" s="83" t="s">
        <v>1</v>
      </c>
      <c r="D326" s="323"/>
      <c r="E326" s="43"/>
      <c r="F326" s="43">
        <v>266</v>
      </c>
      <c r="G326" s="42"/>
      <c r="H326" s="47"/>
    </row>
    <row r="327" spans="1:8" s="23" customFormat="1" ht="15.75">
      <c r="A327" s="195"/>
      <c r="B327" s="231" t="s">
        <v>216</v>
      </c>
      <c r="C327" s="75" t="s">
        <v>2</v>
      </c>
      <c r="D327" s="361" t="s">
        <v>333</v>
      </c>
      <c r="E327" s="362"/>
      <c r="F327" s="31">
        <f>F326*0.6</f>
        <v>159.6</v>
      </c>
      <c r="G327" s="96" t="s">
        <v>247</v>
      </c>
      <c r="H327" s="33" t="s">
        <v>50</v>
      </c>
    </row>
    <row r="328" spans="1:8" s="23" customFormat="1" ht="16.5" customHeight="1" thickBot="1">
      <c r="A328" s="196"/>
      <c r="B328" s="232" t="s">
        <v>231</v>
      </c>
      <c r="C328" s="197" t="s">
        <v>2</v>
      </c>
      <c r="D328" s="286">
        <v>1710.4</v>
      </c>
      <c r="E328" s="55">
        <v>60</v>
      </c>
      <c r="F328" s="56">
        <f>ROUND((D328*E328%),0)</f>
        <v>1026</v>
      </c>
      <c r="G328" s="117"/>
      <c r="H328" s="118" t="s">
        <v>152</v>
      </c>
    </row>
    <row r="329" spans="1:8" s="23" customFormat="1" ht="19.5" customHeight="1" thickBot="1">
      <c r="A329" s="167" t="s">
        <v>33</v>
      </c>
      <c r="B329" s="264" t="s">
        <v>178</v>
      </c>
      <c r="C329" s="217"/>
      <c r="D329" s="282"/>
      <c r="E329" s="155"/>
      <c r="F329" s="155"/>
      <c r="G329" s="155"/>
      <c r="H329" s="156"/>
    </row>
    <row r="330" spans="1:8" s="23" customFormat="1" ht="17.25" customHeight="1">
      <c r="A330" s="195"/>
      <c r="B330" s="239" t="s">
        <v>206</v>
      </c>
      <c r="C330" s="83" t="s">
        <v>1</v>
      </c>
      <c r="D330" s="150"/>
      <c r="E330" s="43"/>
      <c r="F330" s="43">
        <v>372</v>
      </c>
      <c r="G330" s="43"/>
      <c r="H330" s="40"/>
    </row>
    <row r="331" spans="1:8" s="23" customFormat="1" ht="15.75" customHeight="1">
      <c r="A331" s="187"/>
      <c r="B331" s="176" t="s">
        <v>216</v>
      </c>
      <c r="C331" s="83" t="s">
        <v>2</v>
      </c>
      <c r="D331" s="359" t="s">
        <v>334</v>
      </c>
      <c r="E331" s="360"/>
      <c r="F331" s="63">
        <f>F330*0.6</f>
        <v>223.2</v>
      </c>
      <c r="G331" s="112" t="s">
        <v>247</v>
      </c>
      <c r="H331" s="47" t="s">
        <v>50</v>
      </c>
    </row>
    <row r="332" spans="1:8" s="23" customFormat="1" ht="16.5" thickBot="1">
      <c r="A332" s="188"/>
      <c r="B332" s="235" t="s">
        <v>231</v>
      </c>
      <c r="C332" s="273" t="s">
        <v>2</v>
      </c>
      <c r="D332" s="288">
        <v>2285.6</v>
      </c>
      <c r="E332" s="69">
        <v>60</v>
      </c>
      <c r="F332" s="56">
        <f>ROUND((D332*E332%),0)</f>
        <v>1371</v>
      </c>
      <c r="G332" s="113"/>
      <c r="H332" s="58" t="s">
        <v>152</v>
      </c>
    </row>
    <row r="333" spans="1:8" s="23" customFormat="1" ht="16.5" thickBot="1">
      <c r="A333" s="167" t="s">
        <v>34</v>
      </c>
      <c r="B333" s="264" t="s">
        <v>179</v>
      </c>
      <c r="C333" s="217"/>
      <c r="D333" s="282"/>
      <c r="E333" s="155"/>
      <c r="F333" s="155"/>
      <c r="G333" s="155"/>
      <c r="H333" s="156"/>
    </row>
    <row r="334" spans="1:8" s="23" customFormat="1" ht="15.75">
      <c r="A334" s="187"/>
      <c r="B334" s="176" t="s">
        <v>206</v>
      </c>
      <c r="C334" s="83" t="s">
        <v>1</v>
      </c>
      <c r="D334" s="150"/>
      <c r="E334" s="43"/>
      <c r="F334" s="43">
        <v>81</v>
      </c>
      <c r="G334" s="43"/>
      <c r="H334" s="40"/>
    </row>
    <row r="335" spans="1:8" s="23" customFormat="1" ht="15.75">
      <c r="A335" s="195"/>
      <c r="B335" s="231" t="s">
        <v>216</v>
      </c>
      <c r="C335" s="75" t="s">
        <v>2</v>
      </c>
      <c r="D335" s="361" t="s">
        <v>335</v>
      </c>
      <c r="E335" s="362"/>
      <c r="F335" s="63">
        <f>F334*0.6</f>
        <v>48.6</v>
      </c>
      <c r="G335" s="96" t="s">
        <v>247</v>
      </c>
      <c r="H335" s="39" t="s">
        <v>50</v>
      </c>
    </row>
    <row r="336" spans="1:8" s="23" customFormat="1" ht="16.5" thickBot="1">
      <c r="A336" s="188"/>
      <c r="B336" s="235" t="s">
        <v>231</v>
      </c>
      <c r="C336" s="273" t="s">
        <v>2</v>
      </c>
      <c r="D336" s="288">
        <v>502.7</v>
      </c>
      <c r="E336" s="69">
        <v>60</v>
      </c>
      <c r="F336" s="56">
        <f>ROUND((D336*E336%),0)</f>
        <v>302</v>
      </c>
      <c r="G336" s="113"/>
      <c r="H336" s="84" t="s">
        <v>152</v>
      </c>
    </row>
    <row r="337" spans="1:8" s="23" customFormat="1" ht="18" customHeight="1" thickBot="1">
      <c r="A337" s="167" t="s">
        <v>36</v>
      </c>
      <c r="B337" s="264" t="s">
        <v>52</v>
      </c>
      <c r="C337" s="217"/>
      <c r="D337" s="282"/>
      <c r="E337" s="155"/>
      <c r="F337" s="155"/>
      <c r="G337" s="155"/>
      <c r="H337" s="156"/>
    </row>
    <row r="338" spans="1:8" s="91" customFormat="1" ht="15.75">
      <c r="A338" s="203"/>
      <c r="B338" s="255" t="s">
        <v>301</v>
      </c>
      <c r="C338" s="208" t="s">
        <v>2</v>
      </c>
      <c r="D338" s="276">
        <v>45286</v>
      </c>
      <c r="E338" s="43">
        <v>60</v>
      </c>
      <c r="F338" s="63">
        <f aca="true" t="shared" si="15" ref="F338:F362">ROUND((D338*E338%),0)</f>
        <v>27172</v>
      </c>
      <c r="G338" s="99"/>
      <c r="H338" s="89" t="s">
        <v>50</v>
      </c>
    </row>
    <row r="339" spans="1:8" s="23" customFormat="1" ht="16.5" customHeight="1" thickBot="1">
      <c r="A339" s="188"/>
      <c r="B339" s="243" t="s">
        <v>212</v>
      </c>
      <c r="C339" s="273" t="s">
        <v>2</v>
      </c>
      <c r="D339" s="288">
        <v>45286</v>
      </c>
      <c r="E339" s="69">
        <v>90</v>
      </c>
      <c r="F339" s="56">
        <f t="shared" si="15"/>
        <v>40757</v>
      </c>
      <c r="G339" s="69"/>
      <c r="H339" s="70" t="s">
        <v>199</v>
      </c>
    </row>
    <row r="340" spans="1:8" s="23" customFormat="1" ht="16.5" thickBot="1">
      <c r="A340" s="167" t="s">
        <v>45</v>
      </c>
      <c r="B340" s="264" t="s">
        <v>391</v>
      </c>
      <c r="C340" s="217"/>
      <c r="D340" s="282"/>
      <c r="E340" s="155"/>
      <c r="F340" s="155"/>
      <c r="G340" s="155"/>
      <c r="H340" s="156"/>
    </row>
    <row r="341" spans="1:8" s="23" customFormat="1" ht="15.75">
      <c r="A341" s="187"/>
      <c r="B341" s="324" t="s">
        <v>62</v>
      </c>
      <c r="C341" s="83" t="s">
        <v>2</v>
      </c>
      <c r="D341" s="150">
        <f>4613+99</f>
        <v>4712</v>
      </c>
      <c r="E341" s="43">
        <v>80</v>
      </c>
      <c r="F341" s="63">
        <f t="shared" si="15"/>
        <v>3770</v>
      </c>
      <c r="G341" s="92"/>
      <c r="H341" s="47" t="s">
        <v>44</v>
      </c>
    </row>
    <row r="342" spans="1:8" s="23" customFormat="1" ht="15.75">
      <c r="A342" s="195"/>
      <c r="B342" s="231" t="s">
        <v>204</v>
      </c>
      <c r="C342" s="75" t="s">
        <v>2</v>
      </c>
      <c r="D342" s="149">
        <v>1691.3</v>
      </c>
      <c r="E342" s="30">
        <v>5</v>
      </c>
      <c r="F342" s="31">
        <f t="shared" si="15"/>
        <v>85</v>
      </c>
      <c r="G342" s="34" t="s">
        <v>5</v>
      </c>
      <c r="H342" s="39" t="s">
        <v>54</v>
      </c>
    </row>
    <row r="343" spans="1:8" s="23" customFormat="1" ht="15.75">
      <c r="A343" s="187"/>
      <c r="B343" s="234" t="s">
        <v>205</v>
      </c>
      <c r="C343" s="83" t="s">
        <v>2</v>
      </c>
      <c r="D343" s="150">
        <f>D342</f>
        <v>1691.3</v>
      </c>
      <c r="E343" s="43">
        <v>5</v>
      </c>
      <c r="F343" s="31">
        <f t="shared" si="15"/>
        <v>85</v>
      </c>
      <c r="G343" s="43"/>
      <c r="H343" s="40" t="s">
        <v>55</v>
      </c>
    </row>
    <row r="344" spans="1:8" s="23" customFormat="1" ht="16.5" thickBot="1">
      <c r="A344" s="188"/>
      <c r="B344" s="240" t="s">
        <v>212</v>
      </c>
      <c r="C344" s="197" t="s">
        <v>2</v>
      </c>
      <c r="D344" s="288">
        <v>4613</v>
      </c>
      <c r="E344" s="55">
        <v>90</v>
      </c>
      <c r="F344" s="56">
        <f t="shared" si="15"/>
        <v>4152</v>
      </c>
      <c r="G344" s="69"/>
      <c r="H344" s="58" t="s">
        <v>198</v>
      </c>
    </row>
    <row r="345" spans="1:8" s="23" customFormat="1" ht="16.5" customHeight="1" thickBot="1">
      <c r="A345" s="167" t="s">
        <v>46</v>
      </c>
      <c r="B345" s="264" t="s">
        <v>392</v>
      </c>
      <c r="C345" s="217"/>
      <c r="D345" s="282"/>
      <c r="E345" s="155"/>
      <c r="F345" s="155"/>
      <c r="G345" s="155"/>
      <c r="H345" s="156"/>
    </row>
    <row r="346" spans="1:8" s="23" customFormat="1" ht="15.75">
      <c r="A346" s="187"/>
      <c r="B346" s="229" t="s">
        <v>62</v>
      </c>
      <c r="C346" s="83" t="s">
        <v>2</v>
      </c>
      <c r="D346" s="150">
        <v>6590</v>
      </c>
      <c r="E346" s="43">
        <v>80</v>
      </c>
      <c r="F346" s="63">
        <f t="shared" si="15"/>
        <v>5272</v>
      </c>
      <c r="G346" s="92"/>
      <c r="H346" s="52" t="s">
        <v>393</v>
      </c>
    </row>
    <row r="347" spans="1:8" s="23" customFormat="1" ht="15.75">
      <c r="A347" s="187"/>
      <c r="B347" s="228" t="s">
        <v>204</v>
      </c>
      <c r="C347" s="75" t="s">
        <v>2</v>
      </c>
      <c r="D347" s="149">
        <v>1353</v>
      </c>
      <c r="E347" s="30">
        <v>40</v>
      </c>
      <c r="F347" s="31">
        <f t="shared" si="15"/>
        <v>541</v>
      </c>
      <c r="G347" s="32"/>
      <c r="H347" s="33" t="s">
        <v>54</v>
      </c>
    </row>
    <row r="348" spans="1:8" s="23" customFormat="1" ht="15.75">
      <c r="A348" s="187"/>
      <c r="B348" s="228" t="s">
        <v>205</v>
      </c>
      <c r="C348" s="75" t="s">
        <v>2</v>
      </c>
      <c r="D348" s="149">
        <v>1353</v>
      </c>
      <c r="E348" s="30">
        <v>40</v>
      </c>
      <c r="F348" s="31">
        <f t="shared" si="15"/>
        <v>541</v>
      </c>
      <c r="G348" s="30"/>
      <c r="H348" s="33" t="s">
        <v>55</v>
      </c>
    </row>
    <row r="349" spans="1:8" s="23" customFormat="1" ht="16.5" thickBot="1">
      <c r="A349" s="188"/>
      <c r="B349" s="240" t="s">
        <v>212</v>
      </c>
      <c r="C349" s="197" t="s">
        <v>2</v>
      </c>
      <c r="D349" s="288">
        <v>5237</v>
      </c>
      <c r="E349" s="55">
        <v>90</v>
      </c>
      <c r="F349" s="56">
        <f t="shared" si="15"/>
        <v>4713</v>
      </c>
      <c r="G349" s="69"/>
      <c r="H349" s="58" t="s">
        <v>190</v>
      </c>
    </row>
    <row r="350" spans="1:8" s="23" customFormat="1" ht="16.5" thickBot="1">
      <c r="A350" s="167" t="s">
        <v>47</v>
      </c>
      <c r="B350" s="264" t="s">
        <v>147</v>
      </c>
      <c r="C350" s="217"/>
      <c r="D350" s="282"/>
      <c r="E350" s="155"/>
      <c r="F350" s="155"/>
      <c r="G350" s="155"/>
      <c r="H350" s="156"/>
    </row>
    <row r="351" spans="1:8" s="23" customFormat="1" ht="14.25" customHeight="1">
      <c r="A351" s="187"/>
      <c r="B351" s="234" t="s">
        <v>64</v>
      </c>
      <c r="C351" s="83" t="s">
        <v>2</v>
      </c>
      <c r="D351" s="150">
        <v>906</v>
      </c>
      <c r="E351" s="43">
        <v>80</v>
      </c>
      <c r="F351" s="63">
        <f t="shared" si="15"/>
        <v>725</v>
      </c>
      <c r="G351" s="92"/>
      <c r="H351" s="47" t="s">
        <v>200</v>
      </c>
    </row>
    <row r="352" spans="1:8" s="23" customFormat="1" ht="16.5" customHeight="1" thickBot="1">
      <c r="A352" s="188"/>
      <c r="B352" s="240" t="s">
        <v>212</v>
      </c>
      <c r="C352" s="197" t="s">
        <v>2</v>
      </c>
      <c r="D352" s="288">
        <v>906</v>
      </c>
      <c r="E352" s="55">
        <v>90</v>
      </c>
      <c r="F352" s="56">
        <f t="shared" si="15"/>
        <v>815</v>
      </c>
      <c r="G352" s="69"/>
      <c r="H352" s="58" t="s">
        <v>198</v>
      </c>
    </row>
    <row r="353" spans="1:8" s="23" customFormat="1" ht="18" customHeight="1" thickBot="1">
      <c r="A353" s="167" t="s">
        <v>187</v>
      </c>
      <c r="B353" s="264" t="s">
        <v>338</v>
      </c>
      <c r="C353" s="217"/>
      <c r="D353" s="282"/>
      <c r="E353" s="155"/>
      <c r="F353" s="155"/>
      <c r="G353" s="155"/>
      <c r="H353" s="156"/>
    </row>
    <row r="354" spans="1:8" s="23" customFormat="1" ht="15" customHeight="1">
      <c r="A354" s="187"/>
      <c r="B354" s="234" t="s">
        <v>64</v>
      </c>
      <c r="C354" s="83" t="s">
        <v>2</v>
      </c>
      <c r="D354" s="150">
        <v>9150</v>
      </c>
      <c r="E354" s="43">
        <v>80</v>
      </c>
      <c r="F354" s="63">
        <f t="shared" si="15"/>
        <v>7320</v>
      </c>
      <c r="G354" s="92"/>
      <c r="H354" s="47" t="s">
        <v>200</v>
      </c>
    </row>
    <row r="355" spans="1:8" s="23" customFormat="1" ht="15" customHeight="1" thickBot="1">
      <c r="A355" s="188"/>
      <c r="B355" s="240" t="s">
        <v>212</v>
      </c>
      <c r="C355" s="197" t="s">
        <v>2</v>
      </c>
      <c r="D355" s="286">
        <v>9150</v>
      </c>
      <c r="E355" s="55">
        <v>90</v>
      </c>
      <c r="F355" s="56">
        <f t="shared" si="15"/>
        <v>8235</v>
      </c>
      <c r="G355" s="55"/>
      <c r="H355" s="58" t="s">
        <v>198</v>
      </c>
    </row>
    <row r="356" spans="1:8" s="23" customFormat="1" ht="20.25" customHeight="1" thickBot="1">
      <c r="A356" s="167" t="s">
        <v>188</v>
      </c>
      <c r="B356" s="311" t="s">
        <v>184</v>
      </c>
      <c r="C356" s="325"/>
      <c r="D356" s="326"/>
      <c r="E356" s="327"/>
      <c r="F356" s="155"/>
      <c r="G356" s="155"/>
      <c r="H356" s="156"/>
    </row>
    <row r="357" spans="1:8" s="23" customFormat="1" ht="17.25" customHeight="1">
      <c r="A357" s="187"/>
      <c r="B357" s="176" t="s">
        <v>63</v>
      </c>
      <c r="C357" s="83" t="s">
        <v>2</v>
      </c>
      <c r="D357" s="150">
        <v>16207</v>
      </c>
      <c r="E357" s="43">
        <v>80</v>
      </c>
      <c r="F357" s="63">
        <f t="shared" si="15"/>
        <v>12966</v>
      </c>
      <c r="G357" s="92"/>
      <c r="H357" s="40" t="s">
        <v>194</v>
      </c>
    </row>
    <row r="358" spans="1:8" s="23" customFormat="1" ht="16.5" customHeight="1" thickBot="1">
      <c r="A358" s="188"/>
      <c r="B358" s="235" t="s">
        <v>212</v>
      </c>
      <c r="C358" s="273" t="s">
        <v>2</v>
      </c>
      <c r="D358" s="288">
        <v>16207</v>
      </c>
      <c r="E358" s="69">
        <v>80</v>
      </c>
      <c r="F358" s="56">
        <f t="shared" si="15"/>
        <v>12966</v>
      </c>
      <c r="G358" s="69"/>
      <c r="H358" s="70" t="s">
        <v>199</v>
      </c>
    </row>
    <row r="359" spans="1:8" s="23" customFormat="1" ht="19.5" customHeight="1" thickBot="1">
      <c r="A359" s="167" t="s">
        <v>192</v>
      </c>
      <c r="B359" s="264" t="s">
        <v>341</v>
      </c>
      <c r="C359" s="217"/>
      <c r="D359" s="282"/>
      <c r="E359" s="155"/>
      <c r="F359" s="155"/>
      <c r="G359" s="155"/>
      <c r="H359" s="156"/>
    </row>
    <row r="360" spans="1:8" s="23" customFormat="1" ht="15" customHeight="1">
      <c r="A360" s="195"/>
      <c r="B360" s="324" t="s">
        <v>61</v>
      </c>
      <c r="C360" s="83" t="s">
        <v>2</v>
      </c>
      <c r="D360" s="150">
        <f>D368+D367+186</f>
        <v>17021</v>
      </c>
      <c r="E360" s="43">
        <v>80</v>
      </c>
      <c r="F360" s="63">
        <f t="shared" si="15"/>
        <v>13617</v>
      </c>
      <c r="G360" s="92"/>
      <c r="H360" s="40" t="s">
        <v>201</v>
      </c>
    </row>
    <row r="361" spans="1:8" s="23" customFormat="1" ht="15" customHeight="1">
      <c r="A361" s="195"/>
      <c r="B361" s="228" t="s">
        <v>236</v>
      </c>
      <c r="C361" s="75" t="s">
        <v>379</v>
      </c>
      <c r="D361" s="149"/>
      <c r="E361" s="30"/>
      <c r="F361" s="30">
        <v>543.1</v>
      </c>
      <c r="G361" s="30"/>
      <c r="H361" s="33"/>
    </row>
    <row r="362" spans="1:8" s="23" customFormat="1" ht="15" customHeight="1">
      <c r="A362" s="195"/>
      <c r="B362" s="234" t="s">
        <v>59</v>
      </c>
      <c r="C362" s="83" t="s">
        <v>2</v>
      </c>
      <c r="D362" s="150">
        <v>1438</v>
      </c>
      <c r="E362" s="30">
        <v>50</v>
      </c>
      <c r="F362" s="31">
        <f t="shared" si="15"/>
        <v>719</v>
      </c>
      <c r="G362" s="112" t="s">
        <v>4</v>
      </c>
      <c r="H362" s="40" t="s">
        <v>43</v>
      </c>
    </row>
    <row r="363" spans="1:8" s="23" customFormat="1" ht="18" customHeight="1">
      <c r="A363" s="195"/>
      <c r="B363" s="228" t="s">
        <v>223</v>
      </c>
      <c r="C363" s="75" t="s">
        <v>11</v>
      </c>
      <c r="D363" s="149">
        <v>18</v>
      </c>
      <c r="E363" s="30">
        <v>100</v>
      </c>
      <c r="F363" s="30">
        <v>18</v>
      </c>
      <c r="G363" s="30"/>
      <c r="H363" s="343" t="s">
        <v>359</v>
      </c>
    </row>
    <row r="364" spans="1:8" s="23" customFormat="1" ht="20.25" customHeight="1">
      <c r="A364" s="195"/>
      <c r="B364" s="228" t="s">
        <v>127</v>
      </c>
      <c r="C364" s="269" t="s">
        <v>38</v>
      </c>
      <c r="D364" s="149" t="s">
        <v>128</v>
      </c>
      <c r="E364" s="30">
        <v>100</v>
      </c>
      <c r="F364" s="45" t="s">
        <v>128</v>
      </c>
      <c r="G364" s="30"/>
      <c r="H364" s="358"/>
    </row>
    <row r="365" spans="1:8" s="23" customFormat="1" ht="15.75" customHeight="1" thickBot="1">
      <c r="A365" s="196"/>
      <c r="B365" s="240" t="s">
        <v>204</v>
      </c>
      <c r="C365" s="197" t="s">
        <v>2</v>
      </c>
      <c r="D365" s="286">
        <v>1438</v>
      </c>
      <c r="E365" s="55">
        <v>30</v>
      </c>
      <c r="F365" s="56">
        <f aca="true" t="shared" si="16" ref="F365:F370">ROUND((D365*E365%),0)</f>
        <v>431</v>
      </c>
      <c r="G365" s="57"/>
      <c r="H365" s="118" t="s">
        <v>54</v>
      </c>
    </row>
    <row r="366" spans="1:9" s="23" customFormat="1" ht="27" customHeight="1">
      <c r="A366" s="198"/>
      <c r="B366" s="233" t="s">
        <v>268</v>
      </c>
      <c r="C366" s="199" t="s">
        <v>2</v>
      </c>
      <c r="D366" s="287">
        <v>1438</v>
      </c>
      <c r="E366" s="59">
        <v>60</v>
      </c>
      <c r="F366" s="60">
        <f t="shared" si="16"/>
        <v>863</v>
      </c>
      <c r="G366" s="61"/>
      <c r="H366" s="62" t="s">
        <v>54</v>
      </c>
      <c r="I366" s="119"/>
    </row>
    <row r="367" spans="1:8" s="23" customFormat="1" ht="15.75">
      <c r="A367" s="195"/>
      <c r="B367" s="228" t="s">
        <v>205</v>
      </c>
      <c r="C367" s="75" t="s">
        <v>2</v>
      </c>
      <c r="D367" s="149">
        <v>1438</v>
      </c>
      <c r="E367" s="30">
        <v>30</v>
      </c>
      <c r="F367" s="31">
        <f t="shared" si="16"/>
        <v>431</v>
      </c>
      <c r="G367" s="30"/>
      <c r="H367" s="33" t="s">
        <v>54</v>
      </c>
    </row>
    <row r="368" spans="1:8" s="23" customFormat="1" ht="15.75">
      <c r="A368" s="195"/>
      <c r="B368" s="228" t="s">
        <v>365</v>
      </c>
      <c r="C368" s="75" t="s">
        <v>2</v>
      </c>
      <c r="D368" s="149">
        <v>15397</v>
      </c>
      <c r="E368" s="30">
        <v>60</v>
      </c>
      <c r="F368" s="31">
        <f t="shared" si="16"/>
        <v>9238</v>
      </c>
      <c r="G368" s="32"/>
      <c r="H368" s="33" t="s">
        <v>380</v>
      </c>
    </row>
    <row r="369" spans="1:8" s="23" customFormat="1" ht="15">
      <c r="A369" s="195"/>
      <c r="B369" s="228" t="s">
        <v>365</v>
      </c>
      <c r="C369" s="75" t="s">
        <v>2</v>
      </c>
      <c r="D369" s="149">
        <v>15397</v>
      </c>
      <c r="E369" s="30">
        <v>10</v>
      </c>
      <c r="F369" s="31">
        <f t="shared" si="16"/>
        <v>1540</v>
      </c>
      <c r="G369" s="32"/>
      <c r="H369" s="33" t="s">
        <v>360</v>
      </c>
    </row>
    <row r="370" spans="1:8" s="23" customFormat="1" ht="15.75" thickBot="1">
      <c r="A370" s="196"/>
      <c r="B370" s="232" t="s">
        <v>212</v>
      </c>
      <c r="C370" s="273" t="s">
        <v>2</v>
      </c>
      <c r="D370" s="288">
        <v>15397</v>
      </c>
      <c r="E370" s="55">
        <v>50</v>
      </c>
      <c r="F370" s="56">
        <f t="shared" si="16"/>
        <v>7699</v>
      </c>
      <c r="G370" s="69"/>
      <c r="H370" s="70" t="s">
        <v>198</v>
      </c>
    </row>
    <row r="371" spans="1:8" s="23" customFormat="1" ht="15.75" thickBot="1">
      <c r="A371" s="187"/>
      <c r="B371" s="229" t="s">
        <v>181</v>
      </c>
      <c r="C371" s="272" t="s">
        <v>182</v>
      </c>
      <c r="D371" s="284">
        <f>D370/10000</f>
        <v>1.5397</v>
      </c>
      <c r="E371" s="50">
        <f>E370</f>
        <v>50</v>
      </c>
      <c r="F371" s="65">
        <f>D371*E371%</f>
        <v>0.76985</v>
      </c>
      <c r="G371" s="50"/>
      <c r="H371" s="52" t="s">
        <v>198</v>
      </c>
    </row>
    <row r="372" spans="1:8" s="23" customFormat="1" ht="15">
      <c r="A372" s="192" t="s">
        <v>196</v>
      </c>
      <c r="B372" s="182" t="s">
        <v>340</v>
      </c>
      <c r="C372" s="199"/>
      <c r="D372" s="287"/>
      <c r="E372" s="59"/>
      <c r="F372" s="59"/>
      <c r="G372" s="59"/>
      <c r="H372" s="80"/>
    </row>
    <row r="373" spans="1:8" s="23" customFormat="1" ht="15">
      <c r="A373" s="202"/>
      <c r="B373" s="245" t="s">
        <v>233</v>
      </c>
      <c r="C373" s="83" t="s">
        <v>2</v>
      </c>
      <c r="D373" s="150">
        <f>1199+44306+76</f>
        <v>45581</v>
      </c>
      <c r="E373" s="30">
        <v>80</v>
      </c>
      <c r="F373" s="31">
        <f>ROUND((D373*E373%),0)</f>
        <v>36465</v>
      </c>
      <c r="G373" s="92"/>
      <c r="H373" s="40" t="s">
        <v>43</v>
      </c>
    </row>
    <row r="374" spans="1:8" s="23" customFormat="1" ht="15">
      <c r="A374" s="195"/>
      <c r="B374" s="228" t="s">
        <v>236</v>
      </c>
      <c r="C374" s="75" t="s">
        <v>379</v>
      </c>
      <c r="D374" s="150"/>
      <c r="E374" s="30"/>
      <c r="F374" s="30">
        <v>475.2</v>
      </c>
      <c r="G374" s="53"/>
      <c r="H374" s="40"/>
    </row>
    <row r="375" spans="1:8" s="23" customFormat="1" ht="15">
      <c r="A375" s="195"/>
      <c r="B375" s="231" t="s">
        <v>59</v>
      </c>
      <c r="C375" s="75" t="s">
        <v>2</v>
      </c>
      <c r="D375" s="149">
        <f>1199+825</f>
        <v>2024</v>
      </c>
      <c r="E375" s="30">
        <v>60</v>
      </c>
      <c r="F375" s="31">
        <f>ROUND((D375*E375%),0)</f>
        <v>1214</v>
      </c>
      <c r="G375" s="96" t="s">
        <v>4</v>
      </c>
      <c r="H375" s="39" t="s">
        <v>43</v>
      </c>
    </row>
    <row r="376" spans="1:8" s="23" customFormat="1" ht="15">
      <c r="A376" s="195"/>
      <c r="B376" s="228" t="s">
        <v>223</v>
      </c>
      <c r="C376" s="83" t="s">
        <v>11</v>
      </c>
      <c r="D376" s="150">
        <v>5</v>
      </c>
      <c r="E376" s="43">
        <v>100</v>
      </c>
      <c r="F376" s="43">
        <v>5</v>
      </c>
      <c r="G376" s="43"/>
      <c r="H376" s="343" t="s">
        <v>359</v>
      </c>
    </row>
    <row r="377" spans="1:8" s="23" customFormat="1" ht="15">
      <c r="A377" s="195"/>
      <c r="B377" s="231" t="s">
        <v>127</v>
      </c>
      <c r="C377" s="269" t="s">
        <v>38</v>
      </c>
      <c r="D377" s="149" t="s">
        <v>348</v>
      </c>
      <c r="E377" s="30">
        <v>100</v>
      </c>
      <c r="F377" s="45" t="str">
        <f>D377</f>
        <v>16/76,8</v>
      </c>
      <c r="G377" s="30"/>
      <c r="H377" s="358"/>
    </row>
    <row r="378" spans="1:9" s="23" customFormat="1" ht="15">
      <c r="A378" s="195"/>
      <c r="B378" s="239" t="s">
        <v>204</v>
      </c>
      <c r="C378" s="83" t="s">
        <v>2</v>
      </c>
      <c r="D378" s="150">
        <f>D375</f>
        <v>2024</v>
      </c>
      <c r="E378" s="43">
        <v>30</v>
      </c>
      <c r="F378" s="63">
        <f aca="true" t="shared" si="17" ref="F378:F383">ROUND((D378*E378%),0)</f>
        <v>607</v>
      </c>
      <c r="G378" s="79"/>
      <c r="H378" s="47" t="s">
        <v>54</v>
      </c>
      <c r="I378" s="119"/>
    </row>
    <row r="379" spans="1:9" s="23" customFormat="1" ht="30" customHeight="1">
      <c r="A379" s="195"/>
      <c r="B379" s="231" t="s">
        <v>268</v>
      </c>
      <c r="C379" s="75" t="s">
        <v>2</v>
      </c>
      <c r="D379" s="149">
        <v>2024</v>
      </c>
      <c r="E379" s="30">
        <v>60</v>
      </c>
      <c r="F379" s="31">
        <f t="shared" si="17"/>
        <v>1214</v>
      </c>
      <c r="G379" s="32"/>
      <c r="H379" s="39" t="s">
        <v>54</v>
      </c>
      <c r="I379" s="119"/>
    </row>
    <row r="380" spans="1:8" s="23" customFormat="1" ht="15.75" customHeight="1">
      <c r="A380" s="195"/>
      <c r="B380" s="234" t="s">
        <v>205</v>
      </c>
      <c r="C380" s="83" t="s">
        <v>2</v>
      </c>
      <c r="D380" s="150">
        <f>1199+825</f>
        <v>2024</v>
      </c>
      <c r="E380" s="30">
        <v>30</v>
      </c>
      <c r="F380" s="31">
        <f t="shared" si="17"/>
        <v>607</v>
      </c>
      <c r="G380" s="43"/>
      <c r="H380" s="33" t="s">
        <v>54</v>
      </c>
    </row>
    <row r="381" spans="1:8" s="23" customFormat="1" ht="15" customHeight="1">
      <c r="A381" s="195"/>
      <c r="B381" s="228" t="s">
        <v>365</v>
      </c>
      <c r="C381" s="75" t="s">
        <v>2</v>
      </c>
      <c r="D381" s="149">
        <v>44306</v>
      </c>
      <c r="E381" s="30">
        <v>80</v>
      </c>
      <c r="F381" s="31">
        <f t="shared" si="17"/>
        <v>35445</v>
      </c>
      <c r="G381" s="32"/>
      <c r="H381" s="33" t="s">
        <v>380</v>
      </c>
    </row>
    <row r="382" spans="1:8" s="23" customFormat="1" ht="14.25" customHeight="1">
      <c r="A382" s="195"/>
      <c r="B382" s="228" t="s">
        <v>365</v>
      </c>
      <c r="C382" s="75" t="s">
        <v>2</v>
      </c>
      <c r="D382" s="149">
        <v>44306</v>
      </c>
      <c r="E382" s="30">
        <v>10</v>
      </c>
      <c r="F382" s="31">
        <f t="shared" si="17"/>
        <v>4431</v>
      </c>
      <c r="G382" s="32"/>
      <c r="H382" s="33" t="s">
        <v>360</v>
      </c>
    </row>
    <row r="383" spans="1:8" s="23" customFormat="1" ht="16.5" customHeight="1" thickBot="1">
      <c r="A383" s="188"/>
      <c r="B383" s="240" t="s">
        <v>212</v>
      </c>
      <c r="C383" s="197" t="s">
        <v>2</v>
      </c>
      <c r="D383" s="286">
        <v>44306</v>
      </c>
      <c r="E383" s="55">
        <v>70</v>
      </c>
      <c r="F383" s="56">
        <f t="shared" si="17"/>
        <v>31014</v>
      </c>
      <c r="G383" s="55"/>
      <c r="H383" s="118" t="s">
        <v>198</v>
      </c>
    </row>
    <row r="384" spans="1:8" s="23" customFormat="1" ht="16.5" customHeight="1" thickBot="1">
      <c r="A384" s="187"/>
      <c r="B384" s="255" t="s">
        <v>181</v>
      </c>
      <c r="C384" s="83" t="s">
        <v>182</v>
      </c>
      <c r="D384" s="150">
        <f>D383/10000</f>
        <v>4.4306</v>
      </c>
      <c r="E384" s="43">
        <f>E383</f>
        <v>70</v>
      </c>
      <c r="F384" s="65">
        <f>D384*E384%</f>
        <v>3.10142</v>
      </c>
      <c r="G384" s="43"/>
      <c r="H384" s="47" t="s">
        <v>198</v>
      </c>
    </row>
    <row r="385" spans="1:8" s="23" customFormat="1" ht="20.25" customHeight="1">
      <c r="A385" s="192" t="s">
        <v>269</v>
      </c>
      <c r="B385" s="182" t="s">
        <v>460</v>
      </c>
      <c r="C385" s="199"/>
      <c r="D385" s="287"/>
      <c r="E385" s="59"/>
      <c r="F385" s="59"/>
      <c r="G385" s="59"/>
      <c r="H385" s="62"/>
    </row>
    <row r="386" spans="1:8" s="23" customFormat="1" ht="15">
      <c r="A386" s="193"/>
      <c r="B386" s="224" t="s">
        <v>376</v>
      </c>
      <c r="C386" s="75" t="s">
        <v>2</v>
      </c>
      <c r="D386" s="149">
        <v>96925</v>
      </c>
      <c r="E386" s="74">
        <v>80</v>
      </c>
      <c r="F386" s="122">
        <f>ROUND((D386*E386%),0)</f>
        <v>77540</v>
      </c>
      <c r="G386" s="329"/>
      <c r="H386" s="33" t="s">
        <v>43</v>
      </c>
    </row>
    <row r="387" spans="1:8" s="23" customFormat="1" ht="15" customHeight="1">
      <c r="A387" s="187"/>
      <c r="B387" s="176" t="s">
        <v>236</v>
      </c>
      <c r="C387" s="83" t="s">
        <v>1</v>
      </c>
      <c r="D387" s="150"/>
      <c r="E387" s="30"/>
      <c r="F387" s="43">
        <v>2918</v>
      </c>
      <c r="G387" s="64"/>
      <c r="H387" s="40"/>
    </row>
    <row r="388" spans="1:8" s="23" customFormat="1" ht="16.5" customHeight="1">
      <c r="A388" s="187"/>
      <c r="B388" s="177" t="s">
        <v>134</v>
      </c>
      <c r="C388" s="83" t="s">
        <v>2</v>
      </c>
      <c r="D388" s="150">
        <f>D389+D390</f>
        <v>17830</v>
      </c>
      <c r="E388" s="63"/>
      <c r="F388" s="63">
        <f>F389+F390</f>
        <v>12625</v>
      </c>
      <c r="G388" s="112" t="s">
        <v>4</v>
      </c>
      <c r="H388" s="40" t="s">
        <v>43</v>
      </c>
    </row>
    <row r="389" spans="1:8" s="23" customFormat="1" ht="15.75" customHeight="1">
      <c r="A389" s="187"/>
      <c r="B389" s="178" t="s">
        <v>258</v>
      </c>
      <c r="C389" s="83" t="s">
        <v>2</v>
      </c>
      <c r="D389" s="150">
        <f>17293+17.8+37</f>
        <v>17347.8</v>
      </c>
      <c r="E389" s="43">
        <v>70</v>
      </c>
      <c r="F389" s="31">
        <f>ROUND((D389*E389%),0)</f>
        <v>12143</v>
      </c>
      <c r="G389" s="92"/>
      <c r="H389" s="40"/>
    </row>
    <row r="390" spans="1:8" s="23" customFormat="1" ht="15" customHeight="1">
      <c r="A390" s="195"/>
      <c r="B390" s="231" t="s">
        <v>135</v>
      </c>
      <c r="C390" s="75" t="s">
        <v>2</v>
      </c>
      <c r="D390" s="149">
        <f>399+61.2+22</f>
        <v>482.2</v>
      </c>
      <c r="E390" s="30">
        <v>100</v>
      </c>
      <c r="F390" s="31">
        <f>ROUND((D390*E390%),0)</f>
        <v>482</v>
      </c>
      <c r="G390" s="30"/>
      <c r="H390" s="33"/>
    </row>
    <row r="391" spans="1:8" s="23" customFormat="1" ht="20.25" customHeight="1">
      <c r="A391" s="187"/>
      <c r="B391" s="176" t="s">
        <v>127</v>
      </c>
      <c r="C391" s="270" t="s">
        <v>38</v>
      </c>
      <c r="D391" s="150" t="s">
        <v>358</v>
      </c>
      <c r="E391" s="43">
        <v>100</v>
      </c>
      <c r="F391" s="41" t="str">
        <f>D391</f>
        <v>76/364,8</v>
      </c>
      <c r="G391" s="120" t="s">
        <v>272</v>
      </c>
      <c r="H391" s="343" t="s">
        <v>359</v>
      </c>
    </row>
    <row r="392" spans="1:8" s="23" customFormat="1" ht="17.25" customHeight="1">
      <c r="A392" s="187"/>
      <c r="B392" s="226" t="s">
        <v>223</v>
      </c>
      <c r="C392" s="75" t="s">
        <v>11</v>
      </c>
      <c r="D392" s="149">
        <f>39+6</f>
        <v>45</v>
      </c>
      <c r="E392" s="43">
        <v>100</v>
      </c>
      <c r="F392" s="30">
        <f>39+6</f>
        <v>45</v>
      </c>
      <c r="G392" s="30"/>
      <c r="H392" s="358"/>
    </row>
    <row r="393" spans="1:8" s="23" customFormat="1" ht="15">
      <c r="A393" s="187"/>
      <c r="B393" s="224" t="s">
        <v>204</v>
      </c>
      <c r="C393" s="75" t="s">
        <v>2</v>
      </c>
      <c r="D393" s="149">
        <f>D389</f>
        <v>17347.8</v>
      </c>
      <c r="E393" s="30">
        <v>30</v>
      </c>
      <c r="F393" s="31">
        <f aca="true" t="shared" si="18" ref="F393:F400">ROUND((D393*E393%),0)</f>
        <v>5204</v>
      </c>
      <c r="G393" s="32"/>
      <c r="H393" s="33" t="s">
        <v>54</v>
      </c>
    </row>
    <row r="394" spans="1:8" s="23" customFormat="1" ht="15">
      <c r="A394" s="187"/>
      <c r="B394" s="176" t="s">
        <v>274</v>
      </c>
      <c r="C394" s="83" t="s">
        <v>2</v>
      </c>
      <c r="D394" s="150">
        <f>D390</f>
        <v>482.2</v>
      </c>
      <c r="E394" s="43">
        <v>100</v>
      </c>
      <c r="F394" s="31">
        <f t="shared" si="18"/>
        <v>482</v>
      </c>
      <c r="G394" s="79"/>
      <c r="H394" s="40" t="s">
        <v>54</v>
      </c>
    </row>
    <row r="395" spans="1:8" s="23" customFormat="1" ht="15">
      <c r="A395" s="195"/>
      <c r="B395" s="228" t="s">
        <v>268</v>
      </c>
      <c r="C395" s="75" t="s">
        <v>2</v>
      </c>
      <c r="D395" s="149">
        <f>D389</f>
        <v>17347.8</v>
      </c>
      <c r="E395" s="43">
        <v>30</v>
      </c>
      <c r="F395" s="31">
        <f t="shared" si="18"/>
        <v>5204</v>
      </c>
      <c r="G395" s="32"/>
      <c r="H395" s="33" t="s">
        <v>54</v>
      </c>
    </row>
    <row r="396" spans="1:8" s="23" customFormat="1" ht="15">
      <c r="A396" s="187"/>
      <c r="B396" s="224" t="s">
        <v>205</v>
      </c>
      <c r="C396" s="75" t="s">
        <v>2</v>
      </c>
      <c r="D396" s="149">
        <f>D389</f>
        <v>17347.8</v>
      </c>
      <c r="E396" s="30">
        <v>30</v>
      </c>
      <c r="F396" s="31">
        <f t="shared" si="18"/>
        <v>5204</v>
      </c>
      <c r="G396" s="30"/>
      <c r="H396" s="33" t="s">
        <v>55</v>
      </c>
    </row>
    <row r="397" spans="1:8" s="23" customFormat="1" ht="15">
      <c r="A397" s="187"/>
      <c r="B397" s="224" t="s">
        <v>294</v>
      </c>
      <c r="C397" s="75" t="s">
        <v>2</v>
      </c>
      <c r="D397" s="149">
        <f>D390</f>
        <v>482.2</v>
      </c>
      <c r="E397" s="30">
        <v>100</v>
      </c>
      <c r="F397" s="31">
        <f t="shared" si="18"/>
        <v>482</v>
      </c>
      <c r="G397" s="30"/>
      <c r="H397" s="33" t="s">
        <v>55</v>
      </c>
    </row>
    <row r="398" spans="1:8" s="23" customFormat="1" ht="15">
      <c r="A398" s="187"/>
      <c r="B398" s="228" t="s">
        <v>365</v>
      </c>
      <c r="C398" s="83" t="s">
        <v>2</v>
      </c>
      <c r="D398" s="150">
        <f>76028.6-59-37</f>
        <v>75932.6</v>
      </c>
      <c r="E398" s="30">
        <v>50</v>
      </c>
      <c r="F398" s="31">
        <f t="shared" si="18"/>
        <v>37966</v>
      </c>
      <c r="G398" s="32"/>
      <c r="H398" s="33" t="s">
        <v>380</v>
      </c>
    </row>
    <row r="399" spans="1:8" s="23" customFormat="1" ht="15">
      <c r="A399" s="187"/>
      <c r="B399" s="228" t="s">
        <v>365</v>
      </c>
      <c r="C399" s="83" t="s">
        <v>2</v>
      </c>
      <c r="D399" s="150">
        <f>76028.6-59-37</f>
        <v>75932.6</v>
      </c>
      <c r="E399" s="30">
        <v>20</v>
      </c>
      <c r="F399" s="31">
        <f t="shared" si="18"/>
        <v>15187</v>
      </c>
      <c r="G399" s="32"/>
      <c r="H399" s="33" t="s">
        <v>360</v>
      </c>
    </row>
    <row r="400" spans="1:8" s="23" customFormat="1" ht="15.75" thickBot="1">
      <c r="A400" s="196"/>
      <c r="B400" s="232" t="s">
        <v>212</v>
      </c>
      <c r="C400" s="197" t="s">
        <v>2</v>
      </c>
      <c r="D400" s="286">
        <f>D398</f>
        <v>75932.6</v>
      </c>
      <c r="E400" s="55">
        <v>40</v>
      </c>
      <c r="F400" s="56">
        <f t="shared" si="18"/>
        <v>30373</v>
      </c>
      <c r="G400" s="55"/>
      <c r="H400" s="58" t="s">
        <v>198</v>
      </c>
    </row>
    <row r="401" spans="1:8" s="23" customFormat="1" ht="18" customHeight="1" thickBot="1">
      <c r="A401" s="187"/>
      <c r="B401" s="255" t="s">
        <v>181</v>
      </c>
      <c r="C401" s="83" t="s">
        <v>182</v>
      </c>
      <c r="D401" s="150">
        <f>D400/10000</f>
        <v>7.593260000000001</v>
      </c>
      <c r="E401" s="43">
        <f>E400</f>
        <v>40</v>
      </c>
      <c r="F401" s="65">
        <f>D401*E401%</f>
        <v>3.0373040000000007</v>
      </c>
      <c r="G401" s="43"/>
      <c r="H401" s="47" t="s">
        <v>198</v>
      </c>
    </row>
    <row r="402" spans="1:8" s="23" customFormat="1" ht="18" customHeight="1">
      <c r="A402" s="192" t="s">
        <v>148</v>
      </c>
      <c r="B402" s="182" t="s">
        <v>39</v>
      </c>
      <c r="C402" s="199"/>
      <c r="D402" s="287"/>
      <c r="E402" s="59"/>
      <c r="F402" s="59"/>
      <c r="G402" s="59"/>
      <c r="H402" s="80"/>
    </row>
    <row r="403" spans="1:8" s="23" customFormat="1" ht="27" customHeight="1">
      <c r="A403" s="193"/>
      <c r="B403" s="242" t="s">
        <v>121</v>
      </c>
      <c r="C403" s="83" t="s">
        <v>2</v>
      </c>
      <c r="D403" s="150">
        <f>ROUND((D405+D419),0)</f>
        <v>31355</v>
      </c>
      <c r="E403" s="30">
        <v>80</v>
      </c>
      <c r="F403" s="31">
        <f>ROUND((D403*E403%),0)</f>
        <v>25084</v>
      </c>
      <c r="G403" s="53"/>
      <c r="H403" s="40" t="s">
        <v>183</v>
      </c>
    </row>
    <row r="404" spans="1:8" s="23" customFormat="1" ht="14.25" customHeight="1">
      <c r="A404" s="187"/>
      <c r="B404" s="176" t="s">
        <v>206</v>
      </c>
      <c r="C404" s="83" t="s">
        <v>379</v>
      </c>
      <c r="D404" s="150"/>
      <c r="E404" s="30"/>
      <c r="F404" s="43">
        <v>665.5</v>
      </c>
      <c r="G404" s="43"/>
      <c r="H404" s="40"/>
    </row>
    <row r="405" spans="1:8" s="23" customFormat="1" ht="29.25" customHeight="1">
      <c r="A405" s="187"/>
      <c r="B405" s="169" t="s">
        <v>136</v>
      </c>
      <c r="C405" s="83" t="s">
        <v>2</v>
      </c>
      <c r="D405" s="150">
        <f>D406+D407+D408</f>
        <v>13669.5</v>
      </c>
      <c r="E405" s="122"/>
      <c r="F405" s="123">
        <v>8000.5</v>
      </c>
      <c r="G405" s="105" t="s">
        <v>252</v>
      </c>
      <c r="H405" s="33" t="s">
        <v>44</v>
      </c>
    </row>
    <row r="406" spans="1:8" s="23" customFormat="1" ht="18" customHeight="1">
      <c r="A406" s="187"/>
      <c r="B406" s="176" t="s">
        <v>137</v>
      </c>
      <c r="C406" s="83" t="s">
        <v>2</v>
      </c>
      <c r="D406" s="150">
        <v>5305</v>
      </c>
      <c r="E406" s="30">
        <v>30</v>
      </c>
      <c r="F406" s="31">
        <f>ROUND((D406*E406%),0)</f>
        <v>1592</v>
      </c>
      <c r="G406" s="53"/>
      <c r="H406" s="33"/>
    </row>
    <row r="407" spans="1:9" s="23" customFormat="1" ht="15">
      <c r="A407" s="187"/>
      <c r="B407" s="224" t="s">
        <v>141</v>
      </c>
      <c r="C407" s="75" t="s">
        <v>2</v>
      </c>
      <c r="D407" s="149">
        <v>8286</v>
      </c>
      <c r="E407" s="30">
        <v>50</v>
      </c>
      <c r="F407" s="31">
        <f>ROUND((D407*E407%),0)</f>
        <v>4143</v>
      </c>
      <c r="G407" s="53"/>
      <c r="H407" s="33"/>
      <c r="I407" s="23" t="s">
        <v>146</v>
      </c>
    </row>
    <row r="408" spans="1:8" s="23" customFormat="1" ht="15">
      <c r="A408" s="187"/>
      <c r="B408" s="224" t="s">
        <v>276</v>
      </c>
      <c r="C408" s="75" t="s">
        <v>2</v>
      </c>
      <c r="D408" s="149">
        <v>78.5</v>
      </c>
      <c r="E408" s="30">
        <v>100</v>
      </c>
      <c r="F408" s="31">
        <f>ROUND((D408*E408%),0)</f>
        <v>79</v>
      </c>
      <c r="G408" s="53"/>
      <c r="H408" s="33"/>
    </row>
    <row r="409" spans="1:8" s="23" customFormat="1" ht="15">
      <c r="A409" s="187"/>
      <c r="B409" s="231" t="s">
        <v>382</v>
      </c>
      <c r="C409" s="75" t="s">
        <v>157</v>
      </c>
      <c r="D409" s="149" t="s">
        <v>170</v>
      </c>
      <c r="E409" s="30">
        <v>20</v>
      </c>
      <c r="F409" s="30">
        <v>0.74</v>
      </c>
      <c r="G409" s="30"/>
      <c r="H409" s="33" t="s">
        <v>55</v>
      </c>
    </row>
    <row r="410" spans="1:8" s="23" customFormat="1" ht="15">
      <c r="A410" s="187"/>
      <c r="B410" s="176" t="s">
        <v>127</v>
      </c>
      <c r="C410" s="83" t="s">
        <v>124</v>
      </c>
      <c r="D410" s="150" t="s">
        <v>128</v>
      </c>
      <c r="E410" s="43">
        <v>100</v>
      </c>
      <c r="F410" s="41" t="str">
        <f>D410</f>
        <v>18/86,4</v>
      </c>
      <c r="G410" s="120" t="s">
        <v>252</v>
      </c>
      <c r="H410" s="343" t="s">
        <v>359</v>
      </c>
    </row>
    <row r="411" spans="1:8" s="23" customFormat="1" ht="15">
      <c r="A411" s="187"/>
      <c r="B411" s="226" t="s">
        <v>223</v>
      </c>
      <c r="C411" s="75" t="s">
        <v>11</v>
      </c>
      <c r="D411" s="149">
        <v>10</v>
      </c>
      <c r="E411" s="43">
        <v>100</v>
      </c>
      <c r="F411" s="30">
        <v>10</v>
      </c>
      <c r="G411" s="30"/>
      <c r="H411" s="358"/>
    </row>
    <row r="412" spans="1:8" s="23" customFormat="1" ht="15">
      <c r="A412" s="187"/>
      <c r="B412" s="176" t="s">
        <v>204</v>
      </c>
      <c r="C412" s="83" t="s">
        <v>2</v>
      </c>
      <c r="D412" s="150">
        <v>8286</v>
      </c>
      <c r="E412" s="43">
        <v>30</v>
      </c>
      <c r="F412" s="31">
        <f aca="true" t="shared" si="19" ref="F412:F421">ROUND((D412*E412%),0)</f>
        <v>2486</v>
      </c>
      <c r="G412" s="79"/>
      <c r="H412" s="40" t="s">
        <v>54</v>
      </c>
    </row>
    <row r="413" spans="1:8" s="23" customFormat="1" ht="15">
      <c r="A413" s="187"/>
      <c r="B413" s="176" t="s">
        <v>275</v>
      </c>
      <c r="C413" s="75" t="s">
        <v>2</v>
      </c>
      <c r="D413" s="149">
        <v>78.5</v>
      </c>
      <c r="E413" s="30">
        <v>100</v>
      </c>
      <c r="F413" s="31">
        <f t="shared" si="19"/>
        <v>79</v>
      </c>
      <c r="G413" s="79"/>
      <c r="H413" s="39" t="s">
        <v>54</v>
      </c>
    </row>
    <row r="414" spans="1:8" s="23" customFormat="1" ht="15">
      <c r="A414" s="187"/>
      <c r="B414" s="224" t="s">
        <v>268</v>
      </c>
      <c r="C414" s="83" t="s">
        <v>2</v>
      </c>
      <c r="D414" s="150">
        <v>8286</v>
      </c>
      <c r="E414" s="43">
        <v>30</v>
      </c>
      <c r="F414" s="31">
        <f t="shared" si="19"/>
        <v>2486</v>
      </c>
      <c r="G414" s="79"/>
      <c r="H414" s="40" t="s">
        <v>54</v>
      </c>
    </row>
    <row r="415" spans="1:8" s="23" customFormat="1" ht="15.75" thickBot="1">
      <c r="A415" s="188"/>
      <c r="B415" s="237" t="s">
        <v>205</v>
      </c>
      <c r="C415" s="197" t="s">
        <v>2</v>
      </c>
      <c r="D415" s="286">
        <v>8286</v>
      </c>
      <c r="E415" s="55">
        <v>30</v>
      </c>
      <c r="F415" s="56">
        <f t="shared" si="19"/>
        <v>2486</v>
      </c>
      <c r="G415" s="55"/>
      <c r="H415" s="58" t="s">
        <v>54</v>
      </c>
    </row>
    <row r="416" spans="1:8" s="23" customFormat="1" ht="15">
      <c r="A416" s="192"/>
      <c r="B416" s="241" t="s">
        <v>294</v>
      </c>
      <c r="C416" s="199" t="s">
        <v>2</v>
      </c>
      <c r="D416" s="287">
        <v>78.5</v>
      </c>
      <c r="E416" s="59">
        <v>100</v>
      </c>
      <c r="F416" s="60">
        <f t="shared" si="19"/>
        <v>79</v>
      </c>
      <c r="G416" s="59"/>
      <c r="H416" s="62" t="s">
        <v>54</v>
      </c>
    </row>
    <row r="417" spans="1:8" s="23" customFormat="1" ht="15">
      <c r="A417" s="187"/>
      <c r="B417" s="228" t="s">
        <v>365</v>
      </c>
      <c r="C417" s="83" t="s">
        <v>2</v>
      </c>
      <c r="D417" s="150">
        <v>17685</v>
      </c>
      <c r="E417" s="30">
        <v>40</v>
      </c>
      <c r="F417" s="31">
        <f t="shared" si="19"/>
        <v>7074</v>
      </c>
      <c r="G417" s="32"/>
      <c r="H417" s="33" t="s">
        <v>380</v>
      </c>
    </row>
    <row r="418" spans="1:8" s="23" customFormat="1" ht="15">
      <c r="A418" s="187"/>
      <c r="B418" s="228" t="s">
        <v>365</v>
      </c>
      <c r="C418" s="83" t="s">
        <v>2</v>
      </c>
      <c r="D418" s="150">
        <v>17685</v>
      </c>
      <c r="E418" s="30">
        <v>10</v>
      </c>
      <c r="F418" s="31">
        <f t="shared" si="19"/>
        <v>1769</v>
      </c>
      <c r="G418" s="32"/>
      <c r="H418" s="33" t="s">
        <v>360</v>
      </c>
    </row>
    <row r="419" spans="1:8" s="23" customFormat="1" ht="17.25" customHeight="1" thickBot="1">
      <c r="A419" s="188"/>
      <c r="B419" s="237" t="s">
        <v>212</v>
      </c>
      <c r="C419" s="197" t="s">
        <v>2</v>
      </c>
      <c r="D419" s="286">
        <v>17685</v>
      </c>
      <c r="E419" s="55">
        <v>80</v>
      </c>
      <c r="F419" s="56">
        <f t="shared" si="19"/>
        <v>14148</v>
      </c>
      <c r="G419" s="55"/>
      <c r="H419" s="70" t="s">
        <v>198</v>
      </c>
    </row>
    <row r="420" spans="1:8" s="23" customFormat="1" ht="20.25" customHeight="1">
      <c r="A420" s="194" t="s">
        <v>303</v>
      </c>
      <c r="B420" s="183" t="s">
        <v>40</v>
      </c>
      <c r="C420" s="199"/>
      <c r="D420" s="287"/>
      <c r="E420" s="59"/>
      <c r="F420" s="59"/>
      <c r="G420" s="59"/>
      <c r="H420" s="80"/>
    </row>
    <row r="421" spans="1:8" s="23" customFormat="1" ht="18" customHeight="1">
      <c r="A421" s="187"/>
      <c r="B421" s="236" t="s">
        <v>121</v>
      </c>
      <c r="C421" s="83" t="s">
        <v>2</v>
      </c>
      <c r="D421" s="150">
        <f>D423+D435</f>
        <v>22078.920000000002</v>
      </c>
      <c r="E421" s="43">
        <v>80</v>
      </c>
      <c r="F421" s="31">
        <f t="shared" si="19"/>
        <v>17663</v>
      </c>
      <c r="G421" s="92"/>
      <c r="H421" s="40" t="s">
        <v>183</v>
      </c>
    </row>
    <row r="422" spans="1:8" s="23" customFormat="1" ht="14.25" customHeight="1">
      <c r="A422" s="187"/>
      <c r="B422" s="176" t="s">
        <v>206</v>
      </c>
      <c r="C422" s="83" t="s">
        <v>1</v>
      </c>
      <c r="D422" s="150"/>
      <c r="E422" s="30"/>
      <c r="F422" s="43">
        <v>545</v>
      </c>
      <c r="G422" s="43"/>
      <c r="H422" s="40"/>
    </row>
    <row r="423" spans="1:8" s="23" customFormat="1" ht="30" customHeight="1">
      <c r="A423" s="195"/>
      <c r="B423" s="173" t="s">
        <v>138</v>
      </c>
      <c r="C423" s="75" t="s">
        <v>2</v>
      </c>
      <c r="D423" s="149">
        <f>D424+D425+D426</f>
        <v>8661.470000000001</v>
      </c>
      <c r="E423" s="122"/>
      <c r="F423" s="124">
        <v>3670.1</v>
      </c>
      <c r="G423" s="105" t="s">
        <v>252</v>
      </c>
      <c r="H423" s="39" t="s">
        <v>44</v>
      </c>
    </row>
    <row r="424" spans="1:8" s="23" customFormat="1" ht="14.25" customHeight="1">
      <c r="A424" s="195"/>
      <c r="B424" s="231" t="s">
        <v>137</v>
      </c>
      <c r="C424" s="75" t="s">
        <v>2</v>
      </c>
      <c r="D424" s="149">
        <f>5404.3+65.1</f>
        <v>5469.400000000001</v>
      </c>
      <c r="E424" s="30">
        <v>30</v>
      </c>
      <c r="F424" s="31">
        <f>ROUND((D424*E424%),0)</f>
        <v>1641</v>
      </c>
      <c r="G424" s="53"/>
      <c r="H424" s="39"/>
    </row>
    <row r="425" spans="1:8" s="23" customFormat="1" ht="15">
      <c r="A425" s="195"/>
      <c r="B425" s="231" t="s">
        <v>139</v>
      </c>
      <c r="C425" s="75" t="s">
        <v>2</v>
      </c>
      <c r="D425" s="149">
        <f>1262.5+254.02+299.92+196.75+74.8+42.75+341</f>
        <v>2471.7400000000002</v>
      </c>
      <c r="E425" s="30">
        <v>50</v>
      </c>
      <c r="F425" s="31">
        <f>ROUND((D425*E425%),0)</f>
        <v>1236</v>
      </c>
      <c r="G425" s="53"/>
      <c r="H425" s="39"/>
    </row>
    <row r="426" spans="1:8" s="23" customFormat="1" ht="15">
      <c r="A426" s="195"/>
      <c r="B426" s="231" t="s">
        <v>140</v>
      </c>
      <c r="C426" s="75" t="s">
        <v>2</v>
      </c>
      <c r="D426" s="149">
        <f>624.1+76.03+20.2</f>
        <v>720.33</v>
      </c>
      <c r="E426" s="30">
        <v>100</v>
      </c>
      <c r="F426" s="125">
        <v>720.33</v>
      </c>
      <c r="G426" s="30"/>
      <c r="H426" s="39"/>
    </row>
    <row r="427" spans="1:8" s="23" customFormat="1" ht="15">
      <c r="A427" s="195"/>
      <c r="B427" s="231" t="s">
        <v>382</v>
      </c>
      <c r="C427" s="75" t="s">
        <v>157</v>
      </c>
      <c r="D427" s="149" t="s">
        <v>168</v>
      </c>
      <c r="E427" s="30">
        <v>20</v>
      </c>
      <c r="F427" s="30">
        <v>0.24</v>
      </c>
      <c r="G427" s="30"/>
      <c r="H427" s="39" t="s">
        <v>55</v>
      </c>
    </row>
    <row r="428" spans="1:8" s="23" customFormat="1" ht="15">
      <c r="A428" s="187"/>
      <c r="B428" s="234" t="s">
        <v>127</v>
      </c>
      <c r="C428" s="83" t="s">
        <v>124</v>
      </c>
      <c r="D428" s="150" t="s">
        <v>126</v>
      </c>
      <c r="E428" s="43">
        <v>100</v>
      </c>
      <c r="F428" s="41" t="s">
        <v>126</v>
      </c>
      <c r="G428" s="120" t="s">
        <v>252</v>
      </c>
      <c r="H428" s="343" t="s">
        <v>359</v>
      </c>
    </row>
    <row r="429" spans="1:8" s="23" customFormat="1" ht="15">
      <c r="A429" s="195"/>
      <c r="B429" s="231" t="s">
        <v>223</v>
      </c>
      <c r="C429" s="75" t="s">
        <v>11</v>
      </c>
      <c r="D429" s="149">
        <v>3</v>
      </c>
      <c r="E429" s="30">
        <v>100</v>
      </c>
      <c r="F429" s="30">
        <v>3</v>
      </c>
      <c r="G429" s="30"/>
      <c r="H429" s="358"/>
    </row>
    <row r="430" spans="1:8" s="23" customFormat="1" ht="15">
      <c r="A430" s="187"/>
      <c r="B430" s="176" t="s">
        <v>204</v>
      </c>
      <c r="C430" s="83" t="s">
        <v>2</v>
      </c>
      <c r="D430" s="150">
        <f>D425</f>
        <v>2471.7400000000002</v>
      </c>
      <c r="E430" s="43">
        <v>30</v>
      </c>
      <c r="F430" s="63">
        <f aca="true" t="shared" si="20" ref="F430:F439">ROUND((D430*E430%),0)</f>
        <v>742</v>
      </c>
      <c r="G430" s="79"/>
      <c r="H430" s="40" t="s">
        <v>54</v>
      </c>
    </row>
    <row r="431" spans="1:8" s="23" customFormat="1" ht="15">
      <c r="A431" s="187"/>
      <c r="B431" s="252" t="s">
        <v>277</v>
      </c>
      <c r="C431" s="83" t="s">
        <v>2</v>
      </c>
      <c r="D431" s="149">
        <f>D426</f>
        <v>720.33</v>
      </c>
      <c r="E431" s="30">
        <v>100</v>
      </c>
      <c r="F431" s="31">
        <f t="shared" si="20"/>
        <v>720</v>
      </c>
      <c r="G431" s="79"/>
      <c r="H431" s="33" t="s">
        <v>54</v>
      </c>
    </row>
    <row r="432" spans="1:8" s="23" customFormat="1" ht="15">
      <c r="A432" s="187"/>
      <c r="B432" s="224" t="s">
        <v>268</v>
      </c>
      <c r="C432" s="83" t="s">
        <v>2</v>
      </c>
      <c r="D432" s="150">
        <f>D430</f>
        <v>2471.7400000000002</v>
      </c>
      <c r="E432" s="43">
        <v>40</v>
      </c>
      <c r="F432" s="31">
        <f t="shared" si="20"/>
        <v>989</v>
      </c>
      <c r="G432" s="79"/>
      <c r="H432" s="52" t="s">
        <v>54</v>
      </c>
    </row>
    <row r="433" spans="1:8" s="23" customFormat="1" ht="15">
      <c r="A433" s="187"/>
      <c r="B433" s="224" t="s">
        <v>205</v>
      </c>
      <c r="C433" s="75" t="s">
        <v>2</v>
      </c>
      <c r="D433" s="149">
        <f>D425</f>
        <v>2471.7400000000002</v>
      </c>
      <c r="E433" s="30">
        <v>30</v>
      </c>
      <c r="F433" s="31">
        <f t="shared" si="20"/>
        <v>742</v>
      </c>
      <c r="G433" s="30"/>
      <c r="H433" s="33" t="s">
        <v>54</v>
      </c>
    </row>
    <row r="434" spans="1:8" s="23" customFormat="1" ht="15">
      <c r="A434" s="187"/>
      <c r="B434" s="224" t="s">
        <v>294</v>
      </c>
      <c r="C434" s="75" t="s">
        <v>2</v>
      </c>
      <c r="D434" s="149">
        <f>D426</f>
        <v>720.33</v>
      </c>
      <c r="E434" s="30">
        <v>100</v>
      </c>
      <c r="F434" s="31">
        <f t="shared" si="20"/>
        <v>720</v>
      </c>
      <c r="G434" s="30"/>
      <c r="H434" s="33" t="s">
        <v>54</v>
      </c>
    </row>
    <row r="435" spans="1:8" s="23" customFormat="1" ht="15">
      <c r="A435" s="187"/>
      <c r="B435" s="228" t="s">
        <v>365</v>
      </c>
      <c r="C435" s="83" t="s">
        <v>2</v>
      </c>
      <c r="D435" s="150">
        <f>11309+530.25+1578.2</f>
        <v>13417.45</v>
      </c>
      <c r="E435" s="30">
        <v>60</v>
      </c>
      <c r="F435" s="31">
        <f t="shared" si="20"/>
        <v>8050</v>
      </c>
      <c r="G435" s="32"/>
      <c r="H435" s="33" t="s">
        <v>380</v>
      </c>
    </row>
    <row r="436" spans="1:8" s="23" customFormat="1" ht="15">
      <c r="A436" s="187"/>
      <c r="B436" s="228" t="s">
        <v>365</v>
      </c>
      <c r="C436" s="83" t="s">
        <v>2</v>
      </c>
      <c r="D436" s="150">
        <f>11309+530.25+1578.2</f>
        <v>13417.45</v>
      </c>
      <c r="E436" s="30">
        <v>10</v>
      </c>
      <c r="F436" s="31">
        <f t="shared" si="20"/>
        <v>1342</v>
      </c>
      <c r="G436" s="32"/>
      <c r="H436" s="33" t="s">
        <v>360</v>
      </c>
    </row>
    <row r="437" spans="1:8" s="23" customFormat="1" ht="16.5" customHeight="1" thickBot="1">
      <c r="A437" s="188"/>
      <c r="B437" s="237" t="s">
        <v>212</v>
      </c>
      <c r="C437" s="197" t="s">
        <v>2</v>
      </c>
      <c r="D437" s="286">
        <f>D435</f>
        <v>13417.45</v>
      </c>
      <c r="E437" s="55">
        <v>90</v>
      </c>
      <c r="F437" s="56">
        <f t="shared" si="20"/>
        <v>12076</v>
      </c>
      <c r="G437" s="55"/>
      <c r="H437" s="70" t="s">
        <v>198</v>
      </c>
    </row>
    <row r="438" spans="1:8" s="23" customFormat="1" ht="17.25" customHeight="1">
      <c r="A438" s="192" t="s">
        <v>150</v>
      </c>
      <c r="B438" s="182" t="s">
        <v>41</v>
      </c>
      <c r="C438" s="199"/>
      <c r="D438" s="287"/>
      <c r="E438" s="59"/>
      <c r="F438" s="59"/>
      <c r="G438" s="59"/>
      <c r="H438" s="80"/>
    </row>
    <row r="439" spans="1:8" s="23" customFormat="1" ht="15">
      <c r="A439" s="193"/>
      <c r="B439" s="256" t="s">
        <v>235</v>
      </c>
      <c r="C439" s="75" t="s">
        <v>2</v>
      </c>
      <c r="D439" s="150">
        <f>D441+D455+D444</f>
        <v>25483.4</v>
      </c>
      <c r="E439" s="74">
        <v>80</v>
      </c>
      <c r="F439" s="122">
        <f t="shared" si="20"/>
        <v>20387</v>
      </c>
      <c r="G439" s="329"/>
      <c r="H439" s="40" t="s">
        <v>183</v>
      </c>
    </row>
    <row r="440" spans="1:8" s="23" customFormat="1" ht="13.5" customHeight="1">
      <c r="A440" s="187"/>
      <c r="B440" s="224" t="s">
        <v>206</v>
      </c>
      <c r="C440" s="75" t="s">
        <v>1</v>
      </c>
      <c r="D440" s="150"/>
      <c r="E440" s="30"/>
      <c r="F440" s="43">
        <v>700</v>
      </c>
      <c r="G440" s="64"/>
      <c r="H440" s="52"/>
    </row>
    <row r="441" spans="1:8" s="23" customFormat="1" ht="12.75" customHeight="1">
      <c r="A441" s="195"/>
      <c r="B441" s="173" t="s">
        <v>134</v>
      </c>
      <c r="C441" s="75" t="s">
        <v>2</v>
      </c>
      <c r="D441" s="150">
        <f>D442+D443</f>
        <v>9066.6</v>
      </c>
      <c r="E441" s="30"/>
      <c r="F441" s="63">
        <v>6201</v>
      </c>
      <c r="G441" s="105" t="s">
        <v>252</v>
      </c>
      <c r="H441" s="33" t="s">
        <v>43</v>
      </c>
    </row>
    <row r="442" spans="1:8" s="23" customFormat="1" ht="14.25" customHeight="1">
      <c r="A442" s="187"/>
      <c r="B442" s="178" t="s">
        <v>258</v>
      </c>
      <c r="C442" s="83" t="s">
        <v>2</v>
      </c>
      <c r="D442" s="150">
        <f>8802.6+225</f>
        <v>9027.6</v>
      </c>
      <c r="E442" s="43">
        <v>70</v>
      </c>
      <c r="F442" s="31">
        <f>ROUND((D442*E442%),0)</f>
        <v>6319</v>
      </c>
      <c r="G442" s="92"/>
      <c r="H442" s="40"/>
    </row>
    <row r="443" spans="1:8" s="23" customFormat="1" ht="13.5" customHeight="1">
      <c r="A443" s="187"/>
      <c r="B443" s="224" t="s">
        <v>142</v>
      </c>
      <c r="C443" s="75" t="s">
        <v>2</v>
      </c>
      <c r="D443" s="149">
        <v>39</v>
      </c>
      <c r="E443" s="30">
        <v>100</v>
      </c>
      <c r="F443" s="31">
        <v>39</v>
      </c>
      <c r="G443" s="30"/>
      <c r="H443" s="33"/>
    </row>
    <row r="444" spans="1:8" s="23" customFormat="1" ht="13.5" customHeight="1">
      <c r="A444" s="187"/>
      <c r="B444" s="224" t="s">
        <v>234</v>
      </c>
      <c r="C444" s="75" t="s">
        <v>2</v>
      </c>
      <c r="D444" s="149">
        <v>74.2</v>
      </c>
      <c r="E444" s="30">
        <v>70</v>
      </c>
      <c r="F444" s="31">
        <f>ROUND((D444*E444%),0)</f>
        <v>52</v>
      </c>
      <c r="G444" s="53"/>
      <c r="H444" s="33" t="s">
        <v>44</v>
      </c>
    </row>
    <row r="445" spans="1:8" s="23" customFormat="1" ht="13.5" customHeight="1">
      <c r="A445" s="187"/>
      <c r="B445" s="224" t="s">
        <v>159</v>
      </c>
      <c r="C445" s="75" t="s">
        <v>157</v>
      </c>
      <c r="D445" s="149" t="s">
        <v>169</v>
      </c>
      <c r="E445" s="30">
        <v>20</v>
      </c>
      <c r="F445" s="35">
        <v>1</v>
      </c>
      <c r="G445" s="30"/>
      <c r="H445" s="33" t="s">
        <v>55</v>
      </c>
    </row>
    <row r="446" spans="1:8" s="23" customFormat="1" ht="18" customHeight="1">
      <c r="A446" s="195"/>
      <c r="B446" s="231" t="s">
        <v>127</v>
      </c>
      <c r="C446" s="75" t="s">
        <v>124</v>
      </c>
      <c r="D446" s="149" t="s">
        <v>128</v>
      </c>
      <c r="E446" s="30">
        <v>100</v>
      </c>
      <c r="F446" s="45" t="str">
        <f>D446</f>
        <v>18/86,4</v>
      </c>
      <c r="G446" s="105" t="s">
        <v>252</v>
      </c>
      <c r="H446" s="343" t="s">
        <v>359</v>
      </c>
    </row>
    <row r="447" spans="1:8" s="23" customFormat="1" ht="17.25" customHeight="1">
      <c r="A447" s="195"/>
      <c r="B447" s="231" t="s">
        <v>232</v>
      </c>
      <c r="C447" s="75" t="s">
        <v>11</v>
      </c>
      <c r="D447" s="150">
        <f>7+4</f>
        <v>11</v>
      </c>
      <c r="E447" s="30">
        <v>100</v>
      </c>
      <c r="F447" s="43">
        <f>D447</f>
        <v>11</v>
      </c>
      <c r="G447" s="43"/>
      <c r="H447" s="358"/>
    </row>
    <row r="448" spans="1:8" s="23" customFormat="1" ht="15" customHeight="1">
      <c r="A448" s="195"/>
      <c r="B448" s="231" t="s">
        <v>204</v>
      </c>
      <c r="C448" s="75" t="s">
        <v>2</v>
      </c>
      <c r="D448" s="149">
        <f>D442</f>
        <v>9027.6</v>
      </c>
      <c r="E448" s="30">
        <v>30</v>
      </c>
      <c r="F448" s="31">
        <f aca="true" t="shared" si="21" ref="F448:F457">ROUND((D448*E448%),0)</f>
        <v>2708</v>
      </c>
      <c r="G448" s="32"/>
      <c r="H448" s="33" t="s">
        <v>54</v>
      </c>
    </row>
    <row r="449" spans="1:8" s="23" customFormat="1" ht="18" customHeight="1">
      <c r="A449" s="195"/>
      <c r="B449" s="231" t="s">
        <v>274</v>
      </c>
      <c r="C449" s="75" t="s">
        <v>2</v>
      </c>
      <c r="D449" s="149">
        <v>39</v>
      </c>
      <c r="E449" s="30">
        <v>100</v>
      </c>
      <c r="F449" s="31">
        <f t="shared" si="21"/>
        <v>39</v>
      </c>
      <c r="G449" s="30"/>
      <c r="H449" s="33" t="s">
        <v>54</v>
      </c>
    </row>
    <row r="450" spans="1:8" s="23" customFormat="1" ht="32.25" customHeight="1">
      <c r="A450" s="195"/>
      <c r="B450" s="231" t="s">
        <v>268</v>
      </c>
      <c r="C450" s="83" t="s">
        <v>2</v>
      </c>
      <c r="D450" s="150">
        <f>D448</f>
        <v>9027.6</v>
      </c>
      <c r="E450" s="30">
        <v>30</v>
      </c>
      <c r="F450" s="31">
        <f t="shared" si="21"/>
        <v>2708</v>
      </c>
      <c r="G450" s="79"/>
      <c r="H450" s="40" t="s">
        <v>54</v>
      </c>
    </row>
    <row r="451" spans="1:8" s="23" customFormat="1" ht="15">
      <c r="A451" s="195"/>
      <c r="B451" s="231" t="s">
        <v>205</v>
      </c>
      <c r="C451" s="75" t="s">
        <v>2</v>
      </c>
      <c r="D451" s="150">
        <f>D442</f>
        <v>9027.6</v>
      </c>
      <c r="E451" s="43">
        <v>30</v>
      </c>
      <c r="F451" s="31">
        <f t="shared" si="21"/>
        <v>2708</v>
      </c>
      <c r="G451" s="43"/>
      <c r="H451" s="33" t="s">
        <v>54</v>
      </c>
    </row>
    <row r="452" spans="1:8" s="23" customFormat="1" ht="15">
      <c r="A452" s="187"/>
      <c r="B452" s="224" t="s">
        <v>294</v>
      </c>
      <c r="C452" s="75" t="s">
        <v>2</v>
      </c>
      <c r="D452" s="149">
        <v>39</v>
      </c>
      <c r="E452" s="43">
        <v>100</v>
      </c>
      <c r="F452" s="31">
        <f t="shared" si="21"/>
        <v>39</v>
      </c>
      <c r="G452" s="30"/>
      <c r="H452" s="33" t="s">
        <v>54</v>
      </c>
    </row>
    <row r="453" spans="1:8" s="23" customFormat="1" ht="15">
      <c r="A453" s="187"/>
      <c r="B453" s="228" t="s">
        <v>365</v>
      </c>
      <c r="C453" s="75" t="s">
        <v>2</v>
      </c>
      <c r="D453" s="149">
        <f>13469+2873.6</f>
        <v>16342.6</v>
      </c>
      <c r="E453" s="30">
        <v>60</v>
      </c>
      <c r="F453" s="31">
        <f t="shared" si="21"/>
        <v>9806</v>
      </c>
      <c r="G453" s="32"/>
      <c r="H453" s="33" t="s">
        <v>380</v>
      </c>
    </row>
    <row r="454" spans="1:8" s="23" customFormat="1" ht="15">
      <c r="A454" s="187"/>
      <c r="B454" s="228" t="s">
        <v>365</v>
      </c>
      <c r="C454" s="75" t="s">
        <v>2</v>
      </c>
      <c r="D454" s="149">
        <f>13469+2873.6</f>
        <v>16342.6</v>
      </c>
      <c r="E454" s="30">
        <v>10</v>
      </c>
      <c r="F454" s="31">
        <f t="shared" si="21"/>
        <v>1634</v>
      </c>
      <c r="G454" s="32"/>
      <c r="H454" s="33" t="s">
        <v>360</v>
      </c>
    </row>
    <row r="455" spans="1:8" s="23" customFormat="1" ht="15.75" customHeight="1" thickBot="1">
      <c r="A455" s="188"/>
      <c r="B455" s="237" t="s">
        <v>212</v>
      </c>
      <c r="C455" s="197" t="s">
        <v>2</v>
      </c>
      <c r="D455" s="286">
        <f>D453</f>
        <v>16342.6</v>
      </c>
      <c r="E455" s="55">
        <v>80</v>
      </c>
      <c r="F455" s="56">
        <f t="shared" si="21"/>
        <v>13074</v>
      </c>
      <c r="G455" s="55"/>
      <c r="H455" s="70" t="s">
        <v>198</v>
      </c>
    </row>
    <row r="456" spans="1:8" s="23" customFormat="1" ht="18.75" customHeight="1">
      <c r="A456" s="194" t="s">
        <v>151</v>
      </c>
      <c r="B456" s="172" t="s">
        <v>42</v>
      </c>
      <c r="C456" s="199"/>
      <c r="D456" s="287"/>
      <c r="E456" s="59"/>
      <c r="F456" s="59"/>
      <c r="G456" s="59"/>
      <c r="H456" s="80"/>
    </row>
    <row r="457" spans="1:8" s="23" customFormat="1" ht="33" customHeight="1">
      <c r="A457" s="187"/>
      <c r="B457" s="244" t="s">
        <v>122</v>
      </c>
      <c r="C457" s="83" t="s">
        <v>2</v>
      </c>
      <c r="D457" s="150">
        <f>D459+D473</f>
        <v>15339.1</v>
      </c>
      <c r="E457" s="30">
        <v>80</v>
      </c>
      <c r="F457" s="31">
        <f t="shared" si="21"/>
        <v>12271</v>
      </c>
      <c r="G457" s="53"/>
      <c r="H457" s="40" t="s">
        <v>183</v>
      </c>
    </row>
    <row r="458" spans="1:8" s="23" customFormat="1" ht="15">
      <c r="A458" s="187"/>
      <c r="B458" s="234" t="s">
        <v>206</v>
      </c>
      <c r="C458" s="83" t="s">
        <v>1</v>
      </c>
      <c r="D458" s="150"/>
      <c r="E458" s="43"/>
      <c r="F458" s="43">
        <v>509</v>
      </c>
      <c r="G458" s="64"/>
      <c r="H458" s="40"/>
    </row>
    <row r="459" spans="1:8" s="23" customFormat="1" ht="28.5" customHeight="1">
      <c r="A459" s="187"/>
      <c r="B459" s="179" t="s">
        <v>138</v>
      </c>
      <c r="C459" s="83" t="s">
        <v>2</v>
      </c>
      <c r="D459" s="150">
        <f>D460+D461+D462</f>
        <v>5163.6</v>
      </c>
      <c r="E459" s="122"/>
      <c r="F459" s="121">
        <f>F460+F461+F462</f>
        <v>3159</v>
      </c>
      <c r="G459" s="126" t="s">
        <v>252</v>
      </c>
      <c r="H459" s="33" t="s">
        <v>44</v>
      </c>
    </row>
    <row r="460" spans="1:8" s="23" customFormat="1" ht="15.75" customHeight="1">
      <c r="A460" s="187"/>
      <c r="B460" s="234" t="s">
        <v>137</v>
      </c>
      <c r="C460" s="83" t="s">
        <v>2</v>
      </c>
      <c r="D460" s="150">
        <v>1880</v>
      </c>
      <c r="E460" s="30">
        <v>40</v>
      </c>
      <c r="F460" s="31">
        <f>ROUND((D460*E460%),0)</f>
        <v>752</v>
      </c>
      <c r="G460" s="53"/>
      <c r="H460" s="33"/>
    </row>
    <row r="461" spans="1:8" s="23" customFormat="1" ht="14.25" customHeight="1">
      <c r="A461" s="187"/>
      <c r="B461" s="228" t="s">
        <v>139</v>
      </c>
      <c r="C461" s="75" t="s">
        <v>2</v>
      </c>
      <c r="D461" s="149">
        <v>2922.6</v>
      </c>
      <c r="E461" s="30">
        <v>70</v>
      </c>
      <c r="F461" s="31">
        <f>ROUND((D461*E461%),0)</f>
        <v>2046</v>
      </c>
      <c r="G461" s="53"/>
      <c r="H461" s="33"/>
    </row>
    <row r="462" spans="1:8" s="23" customFormat="1" ht="15" customHeight="1">
      <c r="A462" s="187"/>
      <c r="B462" s="231" t="s">
        <v>140</v>
      </c>
      <c r="C462" s="271" t="s">
        <v>2</v>
      </c>
      <c r="D462" s="149">
        <v>361</v>
      </c>
      <c r="E462" s="30">
        <v>100</v>
      </c>
      <c r="F462" s="31">
        <f>ROUND((D462*E462%),0)</f>
        <v>361</v>
      </c>
      <c r="G462" s="37"/>
      <c r="H462" s="44"/>
    </row>
    <row r="463" spans="1:8" s="23" customFormat="1" ht="16.5" customHeight="1" thickBot="1">
      <c r="A463" s="188"/>
      <c r="B463" s="237" t="s">
        <v>159</v>
      </c>
      <c r="C463" s="197" t="s">
        <v>157</v>
      </c>
      <c r="D463" s="288" t="s">
        <v>167</v>
      </c>
      <c r="E463" s="55">
        <v>20</v>
      </c>
      <c r="F463" s="55">
        <v>0.8</v>
      </c>
      <c r="G463" s="55"/>
      <c r="H463" s="118" t="s">
        <v>55</v>
      </c>
    </row>
    <row r="464" spans="1:8" s="23" customFormat="1" ht="18" customHeight="1">
      <c r="A464" s="192"/>
      <c r="B464" s="257" t="s">
        <v>127</v>
      </c>
      <c r="C464" s="199" t="s">
        <v>124</v>
      </c>
      <c r="D464" s="287" t="s">
        <v>351</v>
      </c>
      <c r="E464" s="59">
        <v>100</v>
      </c>
      <c r="F464" s="127" t="str">
        <f>D464</f>
        <v>11/52,8</v>
      </c>
      <c r="G464" s="128" t="s">
        <v>252</v>
      </c>
      <c r="H464" s="363" t="s">
        <v>398</v>
      </c>
    </row>
    <row r="465" spans="1:8" s="23" customFormat="1" ht="15">
      <c r="A465" s="195"/>
      <c r="B465" s="228" t="s">
        <v>223</v>
      </c>
      <c r="C465" s="75" t="s">
        <v>11</v>
      </c>
      <c r="D465" s="149">
        <v>11</v>
      </c>
      <c r="E465" s="30">
        <v>100</v>
      </c>
      <c r="F465" s="30">
        <v>11</v>
      </c>
      <c r="G465" s="30"/>
      <c r="H465" s="358"/>
    </row>
    <row r="466" spans="1:8" s="23" customFormat="1" ht="15">
      <c r="A466" s="187"/>
      <c r="B466" s="234" t="s">
        <v>204</v>
      </c>
      <c r="C466" s="83" t="s">
        <v>2</v>
      </c>
      <c r="D466" s="150">
        <v>2922.6</v>
      </c>
      <c r="E466" s="43">
        <v>30</v>
      </c>
      <c r="F466" s="31">
        <f aca="true" t="shared" si="22" ref="F466:F481">ROUND((D466*E466%),0)</f>
        <v>877</v>
      </c>
      <c r="G466" s="79"/>
      <c r="H466" s="40" t="s">
        <v>54</v>
      </c>
    </row>
    <row r="467" spans="1:8" s="23" customFormat="1" ht="15">
      <c r="A467" s="187"/>
      <c r="B467" s="228" t="s">
        <v>274</v>
      </c>
      <c r="C467" s="75" t="s">
        <v>2</v>
      </c>
      <c r="D467" s="149">
        <v>361</v>
      </c>
      <c r="E467" s="30">
        <v>100</v>
      </c>
      <c r="F467" s="31">
        <f t="shared" si="22"/>
        <v>361</v>
      </c>
      <c r="G467" s="32"/>
      <c r="H467" s="33" t="s">
        <v>54</v>
      </c>
    </row>
    <row r="468" spans="1:8" s="23" customFormat="1" ht="15">
      <c r="A468" s="187"/>
      <c r="B468" s="234" t="s">
        <v>268</v>
      </c>
      <c r="C468" s="83" t="s">
        <v>2</v>
      </c>
      <c r="D468" s="150">
        <v>2922.6</v>
      </c>
      <c r="E468" s="43">
        <v>30</v>
      </c>
      <c r="F468" s="31">
        <f t="shared" si="22"/>
        <v>877</v>
      </c>
      <c r="G468" s="79"/>
      <c r="H468" s="40" t="s">
        <v>54</v>
      </c>
    </row>
    <row r="469" spans="1:8" s="23" customFormat="1" ht="15">
      <c r="A469" s="187"/>
      <c r="B469" s="228" t="s">
        <v>205</v>
      </c>
      <c r="C469" s="75" t="s">
        <v>2</v>
      </c>
      <c r="D469" s="149">
        <v>2922.6</v>
      </c>
      <c r="E469" s="30">
        <v>30</v>
      </c>
      <c r="F469" s="31">
        <f t="shared" si="22"/>
        <v>877</v>
      </c>
      <c r="G469" s="30"/>
      <c r="H469" s="33" t="s">
        <v>55</v>
      </c>
    </row>
    <row r="470" spans="1:8" s="23" customFormat="1" ht="15">
      <c r="A470" s="187"/>
      <c r="B470" s="228" t="s">
        <v>294</v>
      </c>
      <c r="C470" s="75" t="s">
        <v>2</v>
      </c>
      <c r="D470" s="149">
        <v>361</v>
      </c>
      <c r="E470" s="30">
        <v>100</v>
      </c>
      <c r="F470" s="31">
        <f t="shared" si="22"/>
        <v>361</v>
      </c>
      <c r="G470" s="30"/>
      <c r="H470" s="33" t="s">
        <v>55</v>
      </c>
    </row>
    <row r="471" spans="1:8" s="23" customFormat="1" ht="15">
      <c r="A471" s="187"/>
      <c r="B471" s="228" t="s">
        <v>365</v>
      </c>
      <c r="C471" s="75" t="s">
        <v>2</v>
      </c>
      <c r="D471" s="149">
        <f>8890.6+1284.9</f>
        <v>10175.5</v>
      </c>
      <c r="E471" s="30">
        <v>60</v>
      </c>
      <c r="F471" s="31">
        <f t="shared" si="22"/>
        <v>6105</v>
      </c>
      <c r="G471" s="32"/>
      <c r="H471" s="33" t="s">
        <v>380</v>
      </c>
    </row>
    <row r="472" spans="1:8" s="23" customFormat="1" ht="15">
      <c r="A472" s="187"/>
      <c r="B472" s="228" t="s">
        <v>365</v>
      </c>
      <c r="C472" s="75" t="s">
        <v>2</v>
      </c>
      <c r="D472" s="149">
        <f>8890.6+1284.9</f>
        <v>10175.5</v>
      </c>
      <c r="E472" s="30">
        <v>10</v>
      </c>
      <c r="F472" s="31">
        <f t="shared" si="22"/>
        <v>1018</v>
      </c>
      <c r="G472" s="32"/>
      <c r="H472" s="33" t="s">
        <v>360</v>
      </c>
    </row>
    <row r="473" spans="1:8" s="23" customFormat="1" ht="16.5" customHeight="1" thickBot="1">
      <c r="A473" s="188"/>
      <c r="B473" s="240" t="s">
        <v>212</v>
      </c>
      <c r="C473" s="197" t="s">
        <v>2</v>
      </c>
      <c r="D473" s="286">
        <v>10175.5</v>
      </c>
      <c r="E473" s="55">
        <v>80</v>
      </c>
      <c r="F473" s="56">
        <f t="shared" si="22"/>
        <v>8140</v>
      </c>
      <c r="G473" s="55"/>
      <c r="H473" s="118" t="s">
        <v>198</v>
      </c>
    </row>
    <row r="474" spans="1:8" s="91" customFormat="1" ht="18" customHeight="1">
      <c r="A474" s="204" t="s">
        <v>304</v>
      </c>
      <c r="B474" s="183" t="s">
        <v>394</v>
      </c>
      <c r="C474" s="213"/>
      <c r="D474" s="291"/>
      <c r="E474" s="129"/>
      <c r="F474" s="129"/>
      <c r="G474" s="129"/>
      <c r="H474" s="130"/>
    </row>
    <row r="475" spans="1:8" s="91" customFormat="1" ht="30" customHeight="1">
      <c r="A475" s="200"/>
      <c r="B475" s="236" t="s">
        <v>343</v>
      </c>
      <c r="C475" s="208" t="s">
        <v>2</v>
      </c>
      <c r="D475" s="276">
        <f>D487+D490+D478+D480+D481</f>
        <v>60722</v>
      </c>
      <c r="E475" s="49">
        <v>80</v>
      </c>
      <c r="F475" s="31">
        <f t="shared" si="22"/>
        <v>48578</v>
      </c>
      <c r="G475" s="131"/>
      <c r="H475" s="132" t="s">
        <v>395</v>
      </c>
    </row>
    <row r="476" spans="1:8" s="91" customFormat="1" ht="15.75" customHeight="1">
      <c r="A476" s="200"/>
      <c r="B476" s="180" t="s">
        <v>259</v>
      </c>
      <c r="C476" s="208" t="s">
        <v>2</v>
      </c>
      <c r="D476" s="276">
        <f>D477+D478</f>
        <v>7244.5</v>
      </c>
      <c r="E476" s="30"/>
      <c r="F476" s="63">
        <f>F477+F478</f>
        <v>5071</v>
      </c>
      <c r="G476" s="105" t="s">
        <v>252</v>
      </c>
      <c r="H476" s="343" t="s">
        <v>396</v>
      </c>
    </row>
    <row r="477" spans="1:8" s="91" customFormat="1" ht="13.5" customHeight="1">
      <c r="A477" s="200"/>
      <c r="B477" s="236" t="s">
        <v>260</v>
      </c>
      <c r="C477" s="208" t="s">
        <v>2</v>
      </c>
      <c r="D477" s="276">
        <v>4026</v>
      </c>
      <c r="E477" s="30">
        <v>70</v>
      </c>
      <c r="F477" s="31">
        <f t="shared" si="22"/>
        <v>2818</v>
      </c>
      <c r="G477" s="105"/>
      <c r="H477" s="347"/>
    </row>
    <row r="478" spans="1:8" s="91" customFormat="1" ht="14.25" customHeight="1">
      <c r="A478" s="200"/>
      <c r="B478" s="242" t="s">
        <v>261</v>
      </c>
      <c r="C478" s="136" t="s">
        <v>2</v>
      </c>
      <c r="D478" s="277">
        <v>3218.5</v>
      </c>
      <c r="E478" s="30">
        <v>70</v>
      </c>
      <c r="F478" s="31">
        <f t="shared" si="22"/>
        <v>2253</v>
      </c>
      <c r="G478" s="102"/>
      <c r="H478" s="345"/>
    </row>
    <row r="479" spans="1:8" s="91" customFormat="1" ht="29.25" customHeight="1">
      <c r="A479" s="203"/>
      <c r="B479" s="174" t="s">
        <v>185</v>
      </c>
      <c r="C479" s="208" t="s">
        <v>2</v>
      </c>
      <c r="D479" s="276">
        <f>D480+D481</f>
        <v>5815</v>
      </c>
      <c r="E479" s="122"/>
      <c r="F479" s="133">
        <f>F480+F481</f>
        <v>3094</v>
      </c>
      <c r="G479" s="105" t="s">
        <v>273</v>
      </c>
      <c r="H479" s="346" t="s">
        <v>397</v>
      </c>
    </row>
    <row r="480" spans="1:8" s="91" customFormat="1" ht="14.25" customHeight="1">
      <c r="A480" s="203"/>
      <c r="B480" s="175" t="s">
        <v>262</v>
      </c>
      <c r="C480" s="136" t="s">
        <v>2</v>
      </c>
      <c r="D480" s="277">
        <v>5443</v>
      </c>
      <c r="E480" s="30">
        <v>50</v>
      </c>
      <c r="F480" s="31">
        <f t="shared" si="22"/>
        <v>2722</v>
      </c>
      <c r="G480" s="105"/>
      <c r="H480" s="347"/>
    </row>
    <row r="481" spans="1:8" s="91" customFormat="1" ht="33" customHeight="1">
      <c r="A481" s="200"/>
      <c r="B481" s="181" t="s">
        <v>366</v>
      </c>
      <c r="C481" s="208" t="s">
        <v>2</v>
      </c>
      <c r="D481" s="276">
        <v>372</v>
      </c>
      <c r="E481" s="43">
        <v>100</v>
      </c>
      <c r="F481" s="63">
        <f t="shared" si="22"/>
        <v>372</v>
      </c>
      <c r="G481" s="95"/>
      <c r="H481" s="345"/>
    </row>
    <row r="482" spans="1:8" s="91" customFormat="1" ht="15">
      <c r="A482" s="200"/>
      <c r="B482" s="176" t="s">
        <v>127</v>
      </c>
      <c r="C482" s="83" t="s">
        <v>124</v>
      </c>
      <c r="D482" s="150" t="s">
        <v>349</v>
      </c>
      <c r="E482" s="43">
        <v>100</v>
      </c>
      <c r="F482" s="41" t="str">
        <f>D482</f>
        <v>79/379,2</v>
      </c>
      <c r="G482" s="43"/>
      <c r="H482" s="343" t="s">
        <v>359</v>
      </c>
    </row>
    <row r="483" spans="1:8" s="91" customFormat="1" ht="15">
      <c r="A483" s="200"/>
      <c r="B483" s="242" t="s">
        <v>223</v>
      </c>
      <c r="C483" s="136" t="s">
        <v>11</v>
      </c>
      <c r="D483" s="277">
        <v>28</v>
      </c>
      <c r="E483" s="30">
        <v>100</v>
      </c>
      <c r="F483" s="87">
        <f>D483</f>
        <v>28</v>
      </c>
      <c r="G483" s="87"/>
      <c r="H483" s="358"/>
    </row>
    <row r="484" spans="1:8" s="91" customFormat="1" ht="15">
      <c r="A484" s="200"/>
      <c r="B484" s="236" t="s">
        <v>58</v>
      </c>
      <c r="C484" s="208" t="s">
        <v>2</v>
      </c>
      <c r="D484" s="276">
        <v>4026</v>
      </c>
      <c r="E484" s="43">
        <v>30</v>
      </c>
      <c r="F484" s="31">
        <f aca="true" t="shared" si="23" ref="F484:F496">ROUND((D484*E484%),0)</f>
        <v>1208</v>
      </c>
      <c r="G484" s="79"/>
      <c r="H484" s="89" t="s">
        <v>54</v>
      </c>
    </row>
    <row r="485" spans="1:8" s="91" customFormat="1" ht="15">
      <c r="A485" s="200"/>
      <c r="B485" s="242" t="s">
        <v>296</v>
      </c>
      <c r="C485" s="136" t="s">
        <v>2</v>
      </c>
      <c r="D485" s="277">
        <v>5443</v>
      </c>
      <c r="E485" s="30">
        <v>30</v>
      </c>
      <c r="F485" s="31">
        <f t="shared" si="23"/>
        <v>1633</v>
      </c>
      <c r="G485" s="32"/>
      <c r="H485" s="90" t="s">
        <v>54</v>
      </c>
    </row>
    <row r="486" spans="1:8" s="91" customFormat="1" ht="15">
      <c r="A486" s="200"/>
      <c r="B486" s="224" t="s">
        <v>268</v>
      </c>
      <c r="C486" s="136" t="s">
        <v>2</v>
      </c>
      <c r="D486" s="277">
        <v>4026</v>
      </c>
      <c r="E486" s="43">
        <v>30</v>
      </c>
      <c r="F486" s="31">
        <f t="shared" si="23"/>
        <v>1208</v>
      </c>
      <c r="G486" s="32"/>
      <c r="H486" s="90" t="s">
        <v>54</v>
      </c>
    </row>
    <row r="487" spans="1:8" s="91" customFormat="1" ht="15">
      <c r="A487" s="200"/>
      <c r="B487" s="258" t="s">
        <v>205</v>
      </c>
      <c r="C487" s="136" t="s">
        <v>2</v>
      </c>
      <c r="D487" s="277">
        <v>4026</v>
      </c>
      <c r="E487" s="30">
        <v>30</v>
      </c>
      <c r="F487" s="31">
        <f t="shared" si="23"/>
        <v>1208</v>
      </c>
      <c r="G487" s="87"/>
      <c r="H487" s="90" t="s">
        <v>54</v>
      </c>
    </row>
    <row r="488" spans="1:8" s="91" customFormat="1" ht="15">
      <c r="A488" s="200"/>
      <c r="B488" s="236" t="s">
        <v>297</v>
      </c>
      <c r="C488" s="208" t="s">
        <v>2</v>
      </c>
      <c r="D488" s="276">
        <v>5443</v>
      </c>
      <c r="E488" s="43">
        <v>30</v>
      </c>
      <c r="F488" s="31">
        <f t="shared" si="23"/>
        <v>1633</v>
      </c>
      <c r="G488" s="95"/>
      <c r="H488" s="89" t="s">
        <v>55</v>
      </c>
    </row>
    <row r="489" spans="1:8" s="91" customFormat="1" ht="15">
      <c r="A489" s="200"/>
      <c r="B489" s="134" t="s">
        <v>344</v>
      </c>
      <c r="C489" s="75" t="s">
        <v>2</v>
      </c>
      <c r="D489" s="277">
        <f>D487+D488</f>
        <v>9469</v>
      </c>
      <c r="E489" s="30">
        <v>100</v>
      </c>
      <c r="F489" s="31">
        <f t="shared" si="23"/>
        <v>9469</v>
      </c>
      <c r="G489" s="87"/>
      <c r="H489" s="90" t="s">
        <v>55</v>
      </c>
    </row>
    <row r="490" spans="1:8" s="91" customFormat="1" ht="15" customHeight="1">
      <c r="A490" s="200"/>
      <c r="B490" s="228" t="s">
        <v>365</v>
      </c>
      <c r="C490" s="136" t="s">
        <v>2</v>
      </c>
      <c r="D490" s="277">
        <f>41590.5+6072</f>
        <v>47662.5</v>
      </c>
      <c r="E490" s="30">
        <v>50</v>
      </c>
      <c r="F490" s="31">
        <f t="shared" si="23"/>
        <v>23831</v>
      </c>
      <c r="G490" s="32"/>
      <c r="H490" s="33" t="s">
        <v>380</v>
      </c>
    </row>
    <row r="491" spans="1:8" s="91" customFormat="1" ht="15" customHeight="1">
      <c r="A491" s="200"/>
      <c r="B491" s="228" t="s">
        <v>365</v>
      </c>
      <c r="C491" s="136" t="s">
        <v>2</v>
      </c>
      <c r="D491" s="277">
        <f>41590.5+6072</f>
        <v>47662.5</v>
      </c>
      <c r="E491" s="30">
        <v>10</v>
      </c>
      <c r="F491" s="31">
        <f t="shared" si="23"/>
        <v>4766</v>
      </c>
      <c r="G491" s="32"/>
      <c r="H491" s="33" t="s">
        <v>360</v>
      </c>
    </row>
    <row r="492" spans="1:8" s="91" customFormat="1" ht="16.5" customHeight="1" thickBot="1">
      <c r="A492" s="201"/>
      <c r="B492" s="247" t="s">
        <v>212</v>
      </c>
      <c r="C492" s="274" t="s">
        <v>2</v>
      </c>
      <c r="D492" s="289">
        <f>D490</f>
        <v>47662.5</v>
      </c>
      <c r="E492" s="55">
        <v>75</v>
      </c>
      <c r="F492" s="56">
        <f t="shared" si="23"/>
        <v>35747</v>
      </c>
      <c r="G492" s="103"/>
      <c r="H492" s="135" t="s">
        <v>198</v>
      </c>
    </row>
    <row r="493" spans="1:8" s="23" customFormat="1" ht="18" customHeight="1">
      <c r="A493" s="194" t="s">
        <v>305</v>
      </c>
      <c r="B493" s="182" t="s">
        <v>461</v>
      </c>
      <c r="C493" s="199"/>
      <c r="D493" s="287"/>
      <c r="E493" s="59"/>
      <c r="F493" s="59"/>
      <c r="G493" s="59"/>
      <c r="H493" s="80"/>
    </row>
    <row r="494" spans="1:8" s="23" customFormat="1" ht="39" customHeight="1">
      <c r="A494" s="187"/>
      <c r="B494" s="234" t="s">
        <v>239</v>
      </c>
      <c r="C494" s="83" t="s">
        <v>2</v>
      </c>
      <c r="D494" s="150">
        <f>9487+6131.9</f>
        <v>15618.9</v>
      </c>
      <c r="E494" s="74">
        <v>70</v>
      </c>
      <c r="F494" s="122">
        <f t="shared" si="23"/>
        <v>10933</v>
      </c>
      <c r="G494" s="53"/>
      <c r="H494" s="39" t="s">
        <v>291</v>
      </c>
    </row>
    <row r="495" spans="1:8" s="23" customFormat="1" ht="15">
      <c r="A495" s="187"/>
      <c r="B495" s="228" t="s">
        <v>238</v>
      </c>
      <c r="C495" s="83" t="s">
        <v>2</v>
      </c>
      <c r="D495" s="150">
        <v>442</v>
      </c>
      <c r="E495" s="74">
        <v>70</v>
      </c>
      <c r="F495" s="122">
        <f t="shared" si="23"/>
        <v>309</v>
      </c>
      <c r="G495" s="136" t="s">
        <v>4</v>
      </c>
      <c r="H495" s="39" t="s">
        <v>290</v>
      </c>
    </row>
    <row r="496" spans="1:8" s="23" customFormat="1" ht="30.75">
      <c r="A496" s="195"/>
      <c r="B496" s="228" t="s">
        <v>295</v>
      </c>
      <c r="C496" s="75" t="s">
        <v>2</v>
      </c>
      <c r="D496" s="150">
        <v>442</v>
      </c>
      <c r="E496" s="74">
        <v>50</v>
      </c>
      <c r="F496" s="122">
        <f t="shared" si="23"/>
        <v>221</v>
      </c>
      <c r="G496" s="32"/>
      <c r="H496" s="33" t="s">
        <v>399</v>
      </c>
    </row>
    <row r="497" spans="1:8" s="23" customFormat="1" ht="15">
      <c r="A497" s="195"/>
      <c r="B497" s="228" t="s">
        <v>223</v>
      </c>
      <c r="C497" s="75" t="s">
        <v>11</v>
      </c>
      <c r="D497" s="149">
        <v>17</v>
      </c>
      <c r="E497" s="30">
        <v>100</v>
      </c>
      <c r="F497" s="30">
        <v>17</v>
      </c>
      <c r="G497" s="30"/>
      <c r="H497" s="343" t="s">
        <v>291</v>
      </c>
    </row>
    <row r="498" spans="1:8" s="91" customFormat="1" ht="15">
      <c r="A498" s="203"/>
      <c r="B498" s="228" t="s">
        <v>127</v>
      </c>
      <c r="C498" s="75" t="s">
        <v>124</v>
      </c>
      <c r="D498" s="149" t="s">
        <v>282</v>
      </c>
      <c r="E498" s="30">
        <v>100</v>
      </c>
      <c r="F498" s="45" t="s">
        <v>282</v>
      </c>
      <c r="G498" s="105"/>
      <c r="H498" s="344"/>
    </row>
    <row r="499" spans="1:8" s="23" customFormat="1" ht="15">
      <c r="A499" s="187"/>
      <c r="B499" s="228" t="s">
        <v>237</v>
      </c>
      <c r="C499" s="75" t="s">
        <v>11</v>
      </c>
      <c r="D499" s="149">
        <v>1</v>
      </c>
      <c r="E499" s="30">
        <v>100</v>
      </c>
      <c r="F499" s="30">
        <v>1</v>
      </c>
      <c r="G499" s="30"/>
      <c r="H499" s="345"/>
    </row>
    <row r="500" spans="1:8" s="91" customFormat="1" ht="15">
      <c r="A500" s="200"/>
      <c r="B500" s="228" t="s">
        <v>365</v>
      </c>
      <c r="C500" s="136" t="s">
        <v>2</v>
      </c>
      <c r="D500" s="277">
        <v>9487</v>
      </c>
      <c r="E500" s="30">
        <v>50</v>
      </c>
      <c r="F500" s="31">
        <f>ROUND((D500*E500%),0)</f>
        <v>4744</v>
      </c>
      <c r="G500" s="32"/>
      <c r="H500" s="33" t="s">
        <v>380</v>
      </c>
    </row>
    <row r="501" spans="1:8" s="91" customFormat="1" ht="15">
      <c r="A501" s="200"/>
      <c r="B501" s="228" t="s">
        <v>365</v>
      </c>
      <c r="C501" s="136" t="s">
        <v>2</v>
      </c>
      <c r="D501" s="277">
        <v>9487</v>
      </c>
      <c r="E501" s="30">
        <v>10</v>
      </c>
      <c r="F501" s="31">
        <f>ROUND((D501*E501%),0)</f>
        <v>949</v>
      </c>
      <c r="G501" s="32"/>
      <c r="H501" s="33" t="s">
        <v>360</v>
      </c>
    </row>
    <row r="502" spans="1:8" s="23" customFormat="1" ht="15" customHeight="1" thickBot="1">
      <c r="A502" s="188"/>
      <c r="B502" s="240" t="s">
        <v>212</v>
      </c>
      <c r="C502" s="197" t="s">
        <v>2</v>
      </c>
      <c r="D502" s="286">
        <v>9487</v>
      </c>
      <c r="E502" s="55">
        <v>80</v>
      </c>
      <c r="F502" s="56">
        <f>ROUND((D502*E502%),0)</f>
        <v>7590</v>
      </c>
      <c r="G502" s="55"/>
      <c r="H502" s="118" t="s">
        <v>198</v>
      </c>
    </row>
    <row r="503" spans="1:8" s="91" customFormat="1" ht="17.25" customHeight="1">
      <c r="A503" s="209" t="s">
        <v>306</v>
      </c>
      <c r="B503" s="183" t="s">
        <v>110</v>
      </c>
      <c r="C503" s="213"/>
      <c r="D503" s="291"/>
      <c r="E503" s="129"/>
      <c r="F503" s="129"/>
      <c r="G503" s="129"/>
      <c r="H503" s="130"/>
    </row>
    <row r="504" spans="1:8" s="91" customFormat="1" ht="27" customHeight="1">
      <c r="A504" s="210"/>
      <c r="B504" s="259" t="s">
        <v>342</v>
      </c>
      <c r="C504" s="136" t="s">
        <v>2</v>
      </c>
      <c r="D504" s="277">
        <v>33070</v>
      </c>
      <c r="E504" s="74">
        <v>80</v>
      </c>
      <c r="F504" s="122">
        <f>ROUND((D504*E504%),0)</f>
        <v>26456</v>
      </c>
      <c r="G504" s="340"/>
      <c r="H504" s="346" t="s">
        <v>287</v>
      </c>
    </row>
    <row r="505" spans="1:8" s="91" customFormat="1" ht="15" customHeight="1">
      <c r="A505" s="203"/>
      <c r="B505" s="248" t="s">
        <v>206</v>
      </c>
      <c r="C505" s="136" t="s">
        <v>1</v>
      </c>
      <c r="D505" s="277">
        <v>237</v>
      </c>
      <c r="E505" s="87"/>
      <c r="F505" s="87"/>
      <c r="G505" s="96"/>
      <c r="H505" s="347"/>
    </row>
    <row r="506" spans="1:8" s="91" customFormat="1" ht="15">
      <c r="A506" s="203"/>
      <c r="B506" s="184" t="s">
        <v>133</v>
      </c>
      <c r="C506" s="136" t="s">
        <v>2</v>
      </c>
      <c r="D506" s="277">
        <f>D507+D508+D509</f>
        <v>9437</v>
      </c>
      <c r="E506" s="138"/>
      <c r="F506" s="139">
        <v>5248.6</v>
      </c>
      <c r="G506" s="136" t="s">
        <v>4</v>
      </c>
      <c r="H506" s="347"/>
    </row>
    <row r="507" spans="1:8" s="91" customFormat="1" ht="14.25" customHeight="1" thickBot="1">
      <c r="A507" s="211"/>
      <c r="B507" s="185" t="s">
        <v>132</v>
      </c>
      <c r="C507" s="205" t="s">
        <v>2</v>
      </c>
      <c r="D507" s="290">
        <v>1234</v>
      </c>
      <c r="E507" s="109">
        <v>40</v>
      </c>
      <c r="F507" s="56">
        <f>ROUND((D507*E507%),0)</f>
        <v>494</v>
      </c>
      <c r="G507" s="140"/>
      <c r="H507" s="348"/>
    </row>
    <row r="508" spans="1:8" s="91" customFormat="1" ht="13.5" customHeight="1">
      <c r="A508" s="212"/>
      <c r="B508" s="260" t="s">
        <v>288</v>
      </c>
      <c r="C508" s="213" t="s">
        <v>2</v>
      </c>
      <c r="D508" s="291">
        <v>1669</v>
      </c>
      <c r="E508" s="129">
        <v>50</v>
      </c>
      <c r="F508" s="60">
        <f>ROUND((D508*E508%),0)</f>
        <v>835</v>
      </c>
      <c r="G508" s="141"/>
      <c r="H508" s="142"/>
    </row>
    <row r="509" spans="1:8" s="91" customFormat="1" ht="15" customHeight="1">
      <c r="A509" s="203"/>
      <c r="B509" s="248" t="s">
        <v>289</v>
      </c>
      <c r="C509" s="136" t="s">
        <v>2</v>
      </c>
      <c r="D509" s="277">
        <v>6534</v>
      </c>
      <c r="E509" s="87">
        <v>60</v>
      </c>
      <c r="F509" s="31">
        <f>ROUND((D509*E509%),0)</f>
        <v>3920</v>
      </c>
      <c r="G509" s="105"/>
      <c r="H509" s="106"/>
    </row>
    <row r="510" spans="1:8" s="91" customFormat="1" ht="15">
      <c r="A510" s="203"/>
      <c r="B510" s="248" t="s">
        <v>240</v>
      </c>
      <c r="C510" s="136" t="s">
        <v>2</v>
      </c>
      <c r="D510" s="277">
        <v>810</v>
      </c>
      <c r="E510" s="87"/>
      <c r="F510" s="87"/>
      <c r="G510" s="96"/>
      <c r="H510" s="106"/>
    </row>
    <row r="511" spans="1:8" s="91" customFormat="1" ht="15">
      <c r="A511" s="203"/>
      <c r="B511" s="248" t="s">
        <v>127</v>
      </c>
      <c r="C511" s="136" t="s">
        <v>124</v>
      </c>
      <c r="D511" s="277" t="s">
        <v>281</v>
      </c>
      <c r="E511" s="87">
        <v>100</v>
      </c>
      <c r="F511" s="143" t="s">
        <v>281</v>
      </c>
      <c r="G511" s="105" t="s">
        <v>252</v>
      </c>
      <c r="H511" s="343" t="s">
        <v>400</v>
      </c>
    </row>
    <row r="512" spans="1:8" s="91" customFormat="1" ht="15">
      <c r="A512" s="203"/>
      <c r="B512" s="248" t="s">
        <v>223</v>
      </c>
      <c r="C512" s="136" t="s">
        <v>11</v>
      </c>
      <c r="D512" s="277">
        <v>14</v>
      </c>
      <c r="E512" s="87">
        <v>100</v>
      </c>
      <c r="F512" s="87">
        <v>14</v>
      </c>
      <c r="G512" s="87"/>
      <c r="H512" s="358"/>
    </row>
    <row r="513" spans="1:8" s="91" customFormat="1" ht="15">
      <c r="A513" s="203"/>
      <c r="B513" s="248" t="s">
        <v>237</v>
      </c>
      <c r="C513" s="136" t="s">
        <v>11</v>
      </c>
      <c r="D513" s="277">
        <v>1</v>
      </c>
      <c r="E513" s="87">
        <v>100</v>
      </c>
      <c r="F513" s="87">
        <v>1</v>
      </c>
      <c r="G513" s="87"/>
      <c r="H513" s="106" t="s">
        <v>44</v>
      </c>
    </row>
    <row r="514" spans="1:8" s="91" customFormat="1" ht="15">
      <c r="A514" s="203"/>
      <c r="B514" s="248" t="s">
        <v>264</v>
      </c>
      <c r="C514" s="136" t="s">
        <v>2</v>
      </c>
      <c r="D514" s="277">
        <v>22823</v>
      </c>
      <c r="E514" s="87">
        <v>70</v>
      </c>
      <c r="F514" s="31">
        <f>ROUND((D514*E514%),0)</f>
        <v>15976</v>
      </c>
      <c r="G514" s="87"/>
      <c r="H514" s="106" t="s">
        <v>198</v>
      </c>
    </row>
    <row r="515" spans="1:8" s="91" customFormat="1" ht="12.75" customHeight="1">
      <c r="A515" s="203"/>
      <c r="B515" s="248" t="s">
        <v>265</v>
      </c>
      <c r="C515" s="136" t="s">
        <v>2</v>
      </c>
      <c r="D515" s="277">
        <v>19358</v>
      </c>
      <c r="E515" s="87"/>
      <c r="F515" s="87"/>
      <c r="G515" s="87"/>
      <c r="H515" s="106"/>
    </row>
    <row r="516" spans="1:8" s="91" customFormat="1" ht="13.5" customHeight="1" thickBot="1">
      <c r="A516" s="201"/>
      <c r="B516" s="261" t="s">
        <v>266</v>
      </c>
      <c r="C516" s="205" t="s">
        <v>2</v>
      </c>
      <c r="D516" s="290">
        <v>3465</v>
      </c>
      <c r="E516" s="109"/>
      <c r="F516" s="109"/>
      <c r="G516" s="109"/>
      <c r="H516" s="144"/>
    </row>
    <row r="517" spans="1:8" s="23" customFormat="1" ht="17.25" customHeight="1">
      <c r="A517" s="194" t="s">
        <v>307</v>
      </c>
      <c r="B517" s="172" t="s">
        <v>189</v>
      </c>
      <c r="C517" s="199"/>
      <c r="D517" s="287"/>
      <c r="E517" s="59"/>
      <c r="F517" s="59"/>
      <c r="G517" s="59"/>
      <c r="H517" s="80"/>
    </row>
    <row r="518" spans="1:8" s="23" customFormat="1" ht="14.25" customHeight="1">
      <c r="A518" s="214"/>
      <c r="B518" s="228" t="s">
        <v>271</v>
      </c>
      <c r="C518" s="75" t="s">
        <v>2</v>
      </c>
      <c r="D518" s="149">
        <v>12600</v>
      </c>
      <c r="E518" s="30">
        <v>80</v>
      </c>
      <c r="F518" s="31">
        <f aca="true" t="shared" si="24" ref="F518:F524">ROUND((D518*E518%),0)</f>
        <v>10080</v>
      </c>
      <c r="G518" s="30"/>
      <c r="H518" s="90" t="s">
        <v>152</v>
      </c>
    </row>
    <row r="519" spans="1:9" s="23" customFormat="1" ht="15.75" customHeight="1" thickBot="1">
      <c r="A519" s="188"/>
      <c r="B519" s="243" t="s">
        <v>212</v>
      </c>
      <c r="C519" s="273" t="s">
        <v>2</v>
      </c>
      <c r="D519" s="288">
        <v>12600</v>
      </c>
      <c r="E519" s="69">
        <v>80</v>
      </c>
      <c r="F519" s="56">
        <f t="shared" si="24"/>
        <v>10080</v>
      </c>
      <c r="G519" s="69"/>
      <c r="H519" s="70" t="s">
        <v>202</v>
      </c>
      <c r="I519" s="145"/>
    </row>
    <row r="520" spans="1:8" s="23" customFormat="1" ht="15">
      <c r="A520" s="194" t="s">
        <v>308</v>
      </c>
      <c r="B520" s="172" t="s">
        <v>35</v>
      </c>
      <c r="C520" s="199"/>
      <c r="D520" s="287"/>
      <c r="E520" s="59"/>
      <c r="F520" s="59"/>
      <c r="G520" s="59"/>
      <c r="H520" s="80"/>
    </row>
    <row r="521" spans="1:8" s="23" customFormat="1" ht="15.75" customHeight="1" thickBot="1">
      <c r="A521" s="188"/>
      <c r="B521" s="240" t="s">
        <v>212</v>
      </c>
      <c r="C521" s="197" t="s">
        <v>2</v>
      </c>
      <c r="D521" s="288">
        <v>89899.7</v>
      </c>
      <c r="E521" s="69">
        <v>90</v>
      </c>
      <c r="F521" s="31">
        <f t="shared" si="24"/>
        <v>80910</v>
      </c>
      <c r="G521" s="69"/>
      <c r="H521" s="70" t="s">
        <v>190</v>
      </c>
    </row>
    <row r="522" spans="1:8" s="23" customFormat="1" ht="15">
      <c r="A522" s="194" t="s">
        <v>309</v>
      </c>
      <c r="B522" s="172" t="s">
        <v>270</v>
      </c>
      <c r="C522" s="199"/>
      <c r="D522" s="287"/>
      <c r="E522" s="59"/>
      <c r="F522" s="59"/>
      <c r="G522" s="59"/>
      <c r="H522" s="80"/>
    </row>
    <row r="523" spans="1:8" s="23" customFormat="1" ht="15">
      <c r="A523" s="187"/>
      <c r="B523" s="228" t="s">
        <v>271</v>
      </c>
      <c r="C523" s="75" t="s">
        <v>2</v>
      </c>
      <c r="D523" s="149">
        <v>36800</v>
      </c>
      <c r="E523" s="30">
        <v>60</v>
      </c>
      <c r="F523" s="31">
        <f t="shared" si="24"/>
        <v>22080</v>
      </c>
      <c r="G523" s="53"/>
      <c r="H523" s="106" t="s">
        <v>350</v>
      </c>
    </row>
    <row r="524" spans="1:8" s="23" customFormat="1" ht="15.75" thickBot="1">
      <c r="A524" s="188"/>
      <c r="B524" s="240" t="s">
        <v>212</v>
      </c>
      <c r="C524" s="197" t="s">
        <v>2</v>
      </c>
      <c r="D524" s="288">
        <v>36800</v>
      </c>
      <c r="E524" s="69">
        <v>90</v>
      </c>
      <c r="F524" s="31">
        <f t="shared" si="24"/>
        <v>33120</v>
      </c>
      <c r="G524" s="69"/>
      <c r="H524" s="70" t="s">
        <v>190</v>
      </c>
    </row>
    <row r="525" spans="1:8" s="23" customFormat="1" ht="15">
      <c r="A525" s="194" t="s">
        <v>310</v>
      </c>
      <c r="B525" s="172" t="s">
        <v>409</v>
      </c>
      <c r="C525" s="199"/>
      <c r="D525" s="287"/>
      <c r="E525" s="59"/>
      <c r="F525" s="59"/>
      <c r="G525" s="59"/>
      <c r="H525" s="80"/>
    </row>
    <row r="526" spans="1:8" s="23" customFormat="1" ht="15">
      <c r="A526" s="187"/>
      <c r="B526" s="254" t="s">
        <v>410</v>
      </c>
      <c r="C526" s="83"/>
      <c r="D526" s="150"/>
      <c r="E526" s="43"/>
      <c r="F526" s="43"/>
      <c r="G526" s="43"/>
      <c r="H526" s="40"/>
    </row>
    <row r="527" spans="1:8" s="23" customFormat="1" ht="15">
      <c r="A527" s="187"/>
      <c r="B527" s="228" t="s">
        <v>271</v>
      </c>
      <c r="C527" s="75" t="s">
        <v>2</v>
      </c>
      <c r="D527" s="149">
        <v>25200</v>
      </c>
      <c r="E527" s="30">
        <v>60</v>
      </c>
      <c r="F527" s="31">
        <f aca="true" t="shared" si="25" ref="F527:F535">ROUND((D527*E527%),0)</f>
        <v>15120</v>
      </c>
      <c r="G527" s="53"/>
      <c r="H527" s="33" t="s">
        <v>50</v>
      </c>
    </row>
    <row r="528" spans="1:8" s="23" customFormat="1" ht="16.5" customHeight="1" thickBot="1">
      <c r="A528" s="188"/>
      <c r="B528" s="240" t="s">
        <v>212</v>
      </c>
      <c r="C528" s="197" t="s">
        <v>2</v>
      </c>
      <c r="D528" s="288">
        <v>25200</v>
      </c>
      <c r="E528" s="69">
        <v>100</v>
      </c>
      <c r="F528" s="31">
        <f t="shared" si="25"/>
        <v>25200</v>
      </c>
      <c r="G528" s="69"/>
      <c r="H528" s="70" t="s">
        <v>149</v>
      </c>
    </row>
    <row r="529" spans="1:8" s="23" customFormat="1" ht="18.75" customHeight="1">
      <c r="A529" s="194" t="s">
        <v>311</v>
      </c>
      <c r="B529" s="172" t="s">
        <v>411</v>
      </c>
      <c r="C529" s="199"/>
      <c r="D529" s="287"/>
      <c r="E529" s="59"/>
      <c r="F529" s="59"/>
      <c r="G529" s="59"/>
      <c r="H529" s="80"/>
    </row>
    <row r="530" spans="1:8" s="91" customFormat="1" ht="15" customHeight="1">
      <c r="A530" s="200"/>
      <c r="B530" s="244" t="s">
        <v>279</v>
      </c>
      <c r="C530" s="136" t="s">
        <v>2</v>
      </c>
      <c r="D530" s="277">
        <v>86.4</v>
      </c>
      <c r="E530" s="87">
        <v>70</v>
      </c>
      <c r="F530" s="31">
        <f t="shared" si="25"/>
        <v>60</v>
      </c>
      <c r="G530" s="137"/>
      <c r="H530" s="90" t="s">
        <v>152</v>
      </c>
    </row>
    <row r="531" spans="1:8" s="91" customFormat="1" ht="15" customHeight="1">
      <c r="A531" s="200"/>
      <c r="B531" s="244" t="s">
        <v>153</v>
      </c>
      <c r="C531" s="136" t="s">
        <v>2</v>
      </c>
      <c r="D531" s="277">
        <v>450</v>
      </c>
      <c r="E531" s="87">
        <v>70</v>
      </c>
      <c r="F531" s="31">
        <f t="shared" si="25"/>
        <v>315</v>
      </c>
      <c r="G531" s="137"/>
      <c r="H531" s="90" t="s">
        <v>152</v>
      </c>
    </row>
    <row r="532" spans="1:8" s="91" customFormat="1" ht="15" customHeight="1" thickBot="1">
      <c r="A532" s="201"/>
      <c r="B532" s="262" t="s">
        <v>212</v>
      </c>
      <c r="C532" s="205" t="s">
        <v>2</v>
      </c>
      <c r="D532" s="289">
        <v>450</v>
      </c>
      <c r="E532" s="103">
        <v>100</v>
      </c>
      <c r="F532" s="31">
        <f t="shared" si="25"/>
        <v>450</v>
      </c>
      <c r="G532" s="103"/>
      <c r="H532" s="135" t="s">
        <v>149</v>
      </c>
    </row>
    <row r="533" spans="1:8" s="23" customFormat="1" ht="18" customHeight="1">
      <c r="A533" s="194" t="s">
        <v>312</v>
      </c>
      <c r="B533" s="172" t="s">
        <v>412</v>
      </c>
      <c r="C533" s="199"/>
      <c r="D533" s="287"/>
      <c r="E533" s="59"/>
      <c r="F533" s="59"/>
      <c r="G533" s="59"/>
      <c r="H533" s="146"/>
    </row>
    <row r="534" spans="1:8" s="23" customFormat="1" ht="16.5" customHeight="1">
      <c r="A534" s="187"/>
      <c r="B534" s="228" t="s">
        <v>271</v>
      </c>
      <c r="C534" s="75" t="s">
        <v>2</v>
      </c>
      <c r="D534" s="149">
        <v>510</v>
      </c>
      <c r="E534" s="30">
        <v>60</v>
      </c>
      <c r="F534" s="31">
        <f t="shared" si="25"/>
        <v>306</v>
      </c>
      <c r="G534" s="53"/>
      <c r="H534" s="147" t="s">
        <v>152</v>
      </c>
    </row>
    <row r="535" spans="1:8" s="23" customFormat="1" ht="15" customHeight="1" thickBot="1">
      <c r="A535" s="188"/>
      <c r="B535" s="243" t="s">
        <v>212</v>
      </c>
      <c r="C535" s="273" t="s">
        <v>2</v>
      </c>
      <c r="D535" s="288">
        <v>510</v>
      </c>
      <c r="E535" s="55">
        <v>100</v>
      </c>
      <c r="F535" s="56">
        <f t="shared" si="25"/>
        <v>510</v>
      </c>
      <c r="G535" s="69"/>
      <c r="H535" s="148" t="s">
        <v>149</v>
      </c>
    </row>
    <row r="536" spans="1:8" s="165" customFormat="1" ht="21" customHeight="1" thickBot="1">
      <c r="A536" s="349" t="s">
        <v>467</v>
      </c>
      <c r="B536" s="350"/>
      <c r="C536" s="350"/>
      <c r="D536" s="350"/>
      <c r="E536" s="350"/>
      <c r="F536" s="350"/>
      <c r="G536" s="350"/>
      <c r="H536" s="351"/>
    </row>
    <row r="537" spans="1:8" ht="15" customHeight="1">
      <c r="A537" s="215" t="s">
        <v>0</v>
      </c>
      <c r="B537" s="186" t="s">
        <v>462</v>
      </c>
      <c r="C537" s="275"/>
      <c r="D537" s="292"/>
      <c r="E537" s="151"/>
      <c r="F537" s="151"/>
      <c r="G537" s="151"/>
      <c r="H537" s="152"/>
    </row>
    <row r="538" spans="1:8" s="23" customFormat="1" ht="15">
      <c r="A538" s="187"/>
      <c r="B538" s="228" t="s">
        <v>64</v>
      </c>
      <c r="C538" s="75" t="s">
        <v>2</v>
      </c>
      <c r="D538" s="293">
        <v>4980</v>
      </c>
      <c r="E538" s="30">
        <v>60</v>
      </c>
      <c r="F538" s="35">
        <f>ROUND((D538*E538%),0)</f>
        <v>2988</v>
      </c>
      <c r="G538" s="32"/>
      <c r="H538" s="39" t="s">
        <v>53</v>
      </c>
    </row>
    <row r="539" spans="1:8" s="23" customFormat="1" ht="15">
      <c r="A539" s="187"/>
      <c r="B539" s="224" t="s">
        <v>206</v>
      </c>
      <c r="C539" s="75" t="s">
        <v>379</v>
      </c>
      <c r="D539" s="293"/>
      <c r="E539" s="30"/>
      <c r="F539" s="30">
        <v>2060</v>
      </c>
      <c r="G539" s="34" t="s">
        <v>247</v>
      </c>
      <c r="H539" s="33"/>
    </row>
    <row r="540" spans="1:8" s="23" customFormat="1" ht="15">
      <c r="A540" s="187"/>
      <c r="B540" s="224" t="s">
        <v>231</v>
      </c>
      <c r="C540" s="75" t="s">
        <v>2</v>
      </c>
      <c r="D540" s="293">
        <f>(F539*0.6)</f>
        <v>1236</v>
      </c>
      <c r="E540" s="30">
        <v>70</v>
      </c>
      <c r="F540" s="35">
        <f>ROUND((D540*E540%),0)</f>
        <v>865</v>
      </c>
      <c r="G540" s="53"/>
      <c r="H540" s="39" t="s">
        <v>53</v>
      </c>
    </row>
    <row r="541" spans="1:8" s="23" customFormat="1" ht="15">
      <c r="A541" s="187"/>
      <c r="B541" s="176" t="s">
        <v>401</v>
      </c>
      <c r="C541" s="83" t="s">
        <v>2</v>
      </c>
      <c r="D541" s="293">
        <v>4980</v>
      </c>
      <c r="E541" s="43">
        <v>70</v>
      </c>
      <c r="F541" s="35">
        <f>ROUND((D541*E541%),0)</f>
        <v>3486</v>
      </c>
      <c r="G541" s="79"/>
      <c r="H541" s="33" t="s">
        <v>402</v>
      </c>
    </row>
    <row r="542" spans="1:8" s="23" customFormat="1" ht="15.75" thickBot="1">
      <c r="A542" s="195"/>
      <c r="B542" s="231" t="s">
        <v>229</v>
      </c>
      <c r="C542" s="75" t="s">
        <v>2</v>
      </c>
      <c r="D542" s="293">
        <v>4980</v>
      </c>
      <c r="E542" s="30">
        <v>90</v>
      </c>
      <c r="F542" s="35">
        <f>ROUND((D542*E542%),0)</f>
        <v>4482</v>
      </c>
      <c r="G542" s="30"/>
      <c r="H542" s="39" t="s">
        <v>199</v>
      </c>
    </row>
    <row r="543" spans="1:8" s="23" customFormat="1" ht="15">
      <c r="A543" s="194" t="s">
        <v>3</v>
      </c>
      <c r="B543" s="172" t="s">
        <v>463</v>
      </c>
      <c r="C543" s="199"/>
      <c r="D543" s="294"/>
      <c r="E543" s="59"/>
      <c r="F543" s="59"/>
      <c r="G543" s="59"/>
      <c r="H543" s="80"/>
    </row>
    <row r="544" spans="1:8" s="23" customFormat="1" ht="15">
      <c r="A544" s="187"/>
      <c r="B544" s="224" t="s">
        <v>206</v>
      </c>
      <c r="C544" s="75" t="s">
        <v>379</v>
      </c>
      <c r="D544" s="73"/>
      <c r="E544" s="30"/>
      <c r="F544" s="30">
        <v>1340</v>
      </c>
      <c r="G544" s="34" t="s">
        <v>247</v>
      </c>
      <c r="H544" s="33"/>
    </row>
    <row r="545" spans="1:8" s="23" customFormat="1" ht="15">
      <c r="A545" s="187"/>
      <c r="B545" s="224" t="s">
        <v>231</v>
      </c>
      <c r="C545" s="75" t="s">
        <v>2</v>
      </c>
      <c r="D545" s="73">
        <f>(F544*0.6)</f>
        <v>804</v>
      </c>
      <c r="E545" s="30">
        <v>70</v>
      </c>
      <c r="F545" s="31">
        <f>D545*70%</f>
        <v>562.8</v>
      </c>
      <c r="G545" s="53"/>
      <c r="H545" s="39" t="s">
        <v>53</v>
      </c>
    </row>
    <row r="546" spans="1:8" s="23" customFormat="1" ht="15">
      <c r="A546" s="195"/>
      <c r="B546" s="231" t="s">
        <v>226</v>
      </c>
      <c r="C546" s="75" t="s">
        <v>2</v>
      </c>
      <c r="D546" s="293">
        <v>112</v>
      </c>
      <c r="E546" s="30">
        <v>90</v>
      </c>
      <c r="F546" s="35">
        <f>ROUND((D546*E546%),0)</f>
        <v>101</v>
      </c>
      <c r="G546" s="34"/>
      <c r="H546" s="39" t="s">
        <v>48</v>
      </c>
    </row>
    <row r="547" spans="1:8" s="23" customFormat="1" ht="15">
      <c r="A547" s="187"/>
      <c r="B547" s="176" t="s">
        <v>221</v>
      </c>
      <c r="C547" s="83" t="s">
        <v>2</v>
      </c>
      <c r="D547" s="293">
        <v>112</v>
      </c>
      <c r="E547" s="30">
        <v>90</v>
      </c>
      <c r="F547" s="35">
        <f>ROUND((D547*E547%),0)</f>
        <v>101</v>
      </c>
      <c r="G547" s="43"/>
      <c r="H547" s="40" t="s">
        <v>55</v>
      </c>
    </row>
    <row r="548" spans="1:8" s="23" customFormat="1" ht="15.75" thickBot="1">
      <c r="A548" s="187"/>
      <c r="B548" s="224" t="s">
        <v>222</v>
      </c>
      <c r="C548" s="75" t="s">
        <v>2</v>
      </c>
      <c r="D548" s="293">
        <v>112</v>
      </c>
      <c r="E548" s="30">
        <v>90</v>
      </c>
      <c r="F548" s="35">
        <f>ROUND((D548*E548%),0)</f>
        <v>101</v>
      </c>
      <c r="G548" s="30"/>
      <c r="H548" s="33" t="s">
        <v>54</v>
      </c>
    </row>
    <row r="549" spans="1:8" s="23" customFormat="1" ht="15">
      <c r="A549" s="192" t="s">
        <v>8</v>
      </c>
      <c r="B549" s="172" t="s">
        <v>464</v>
      </c>
      <c r="C549" s="199"/>
      <c r="D549" s="294"/>
      <c r="E549" s="59"/>
      <c r="F549" s="59"/>
      <c r="G549" s="59"/>
      <c r="H549" s="80"/>
    </row>
    <row r="550" spans="1:8" s="23" customFormat="1" ht="15">
      <c r="A550" s="187"/>
      <c r="B550" s="224" t="s">
        <v>206</v>
      </c>
      <c r="C550" s="75" t="s">
        <v>379</v>
      </c>
      <c r="D550" s="73"/>
      <c r="E550" s="30"/>
      <c r="F550" s="30">
        <v>2810</v>
      </c>
      <c r="G550" s="34" t="s">
        <v>247</v>
      </c>
      <c r="H550" s="33"/>
    </row>
    <row r="551" spans="1:8" s="23" customFormat="1" ht="15">
      <c r="A551" s="187"/>
      <c r="B551" s="224" t="s">
        <v>231</v>
      </c>
      <c r="C551" s="75" t="s">
        <v>2</v>
      </c>
      <c r="D551" s="293">
        <f>(F550*0.6)</f>
        <v>1686</v>
      </c>
      <c r="E551" s="30">
        <v>70</v>
      </c>
      <c r="F551" s="35">
        <f>ROUND((D551*E551%),0)</f>
        <v>1180</v>
      </c>
      <c r="G551" s="53"/>
      <c r="H551" s="39" t="s">
        <v>53</v>
      </c>
    </row>
    <row r="552" spans="1:8" s="23" customFormat="1" ht="15">
      <c r="A552" s="195"/>
      <c r="B552" s="231" t="s">
        <v>226</v>
      </c>
      <c r="C552" s="75" t="s">
        <v>2</v>
      </c>
      <c r="D552" s="293">
        <v>212</v>
      </c>
      <c r="E552" s="30">
        <v>90</v>
      </c>
      <c r="F552" s="35">
        <f>ROUND((D552*E552%),0)</f>
        <v>191</v>
      </c>
      <c r="G552" s="34"/>
      <c r="H552" s="39" t="s">
        <v>48</v>
      </c>
    </row>
    <row r="553" spans="1:8" s="23" customFormat="1" ht="15">
      <c r="A553" s="187"/>
      <c r="B553" s="176" t="s">
        <v>221</v>
      </c>
      <c r="C553" s="83" t="s">
        <v>2</v>
      </c>
      <c r="D553" s="293">
        <v>212</v>
      </c>
      <c r="E553" s="30">
        <v>90</v>
      </c>
      <c r="F553" s="35">
        <f>ROUND((D553*E553%),0)</f>
        <v>191</v>
      </c>
      <c r="G553" s="43"/>
      <c r="H553" s="40" t="s">
        <v>55</v>
      </c>
    </row>
    <row r="554" spans="1:8" s="23" customFormat="1" ht="15">
      <c r="A554" s="187"/>
      <c r="B554" s="224" t="s">
        <v>222</v>
      </c>
      <c r="C554" s="75" t="s">
        <v>2</v>
      </c>
      <c r="D554" s="293">
        <v>212</v>
      </c>
      <c r="E554" s="30">
        <v>90</v>
      </c>
      <c r="F554" s="35">
        <f>ROUND((D554*E554%),0)</f>
        <v>191</v>
      </c>
      <c r="G554" s="30"/>
      <c r="H554" s="33" t="s">
        <v>54</v>
      </c>
    </row>
    <row r="555" spans="1:8" s="23" customFormat="1" ht="15.75" thickBot="1">
      <c r="A555" s="196"/>
      <c r="B555" s="232" t="s">
        <v>223</v>
      </c>
      <c r="C555" s="197" t="s">
        <v>11</v>
      </c>
      <c r="D555" s="295">
        <v>2</v>
      </c>
      <c r="E555" s="55">
        <f>F555/D555%</f>
        <v>100</v>
      </c>
      <c r="F555" s="55">
        <v>2</v>
      </c>
      <c r="G555" s="55"/>
      <c r="H555" s="58" t="s">
        <v>48</v>
      </c>
    </row>
    <row r="556" spans="1:8" s="23" customFormat="1" ht="15">
      <c r="A556" s="192" t="s">
        <v>9</v>
      </c>
      <c r="B556" s="172" t="s">
        <v>465</v>
      </c>
      <c r="C556" s="199"/>
      <c r="D556" s="294"/>
      <c r="E556" s="59"/>
      <c r="F556" s="59"/>
      <c r="G556" s="59"/>
      <c r="H556" s="80"/>
    </row>
    <row r="557" spans="1:8" s="23" customFormat="1" ht="15">
      <c r="A557" s="187"/>
      <c r="B557" s="224" t="s">
        <v>206</v>
      </c>
      <c r="C557" s="75" t="s">
        <v>379</v>
      </c>
      <c r="D557" s="73"/>
      <c r="E557" s="30"/>
      <c r="F557" s="30">
        <v>1600</v>
      </c>
      <c r="G557" s="34" t="s">
        <v>247</v>
      </c>
      <c r="H557" s="33"/>
    </row>
    <row r="558" spans="1:8" s="23" customFormat="1" ht="15">
      <c r="A558" s="187"/>
      <c r="B558" s="224" t="s">
        <v>231</v>
      </c>
      <c r="C558" s="75" t="s">
        <v>2</v>
      </c>
      <c r="D558" s="293">
        <f>(F557*0.6)</f>
        <v>960</v>
      </c>
      <c r="E558" s="30">
        <v>70</v>
      </c>
      <c r="F558" s="35">
        <f>ROUND((D558*E558%),0)</f>
        <v>672</v>
      </c>
      <c r="G558" s="53"/>
      <c r="H558" s="39" t="s">
        <v>48</v>
      </c>
    </row>
    <row r="559" spans="1:8" s="23" customFormat="1" ht="15">
      <c r="A559" s="195"/>
      <c r="B559" s="231" t="s">
        <v>226</v>
      </c>
      <c r="C559" s="75" t="s">
        <v>2</v>
      </c>
      <c r="D559" s="73">
        <v>53.2</v>
      </c>
      <c r="E559" s="30">
        <v>90</v>
      </c>
      <c r="F559" s="35">
        <f>ROUND((D559*E559%),0)</f>
        <v>48</v>
      </c>
      <c r="G559" s="34"/>
      <c r="H559" s="39" t="s">
        <v>48</v>
      </c>
    </row>
    <row r="560" spans="1:8" s="23" customFormat="1" ht="15">
      <c r="A560" s="187"/>
      <c r="B560" s="176" t="s">
        <v>221</v>
      </c>
      <c r="C560" s="83" t="s">
        <v>2</v>
      </c>
      <c r="D560" s="73">
        <v>53.2</v>
      </c>
      <c r="E560" s="30">
        <v>90</v>
      </c>
      <c r="F560" s="35">
        <f>ROUND((D560*E560%),0)</f>
        <v>48</v>
      </c>
      <c r="G560" s="43"/>
      <c r="H560" s="40" t="s">
        <v>55</v>
      </c>
    </row>
    <row r="561" spans="1:8" s="23" customFormat="1" ht="15">
      <c r="A561" s="187"/>
      <c r="B561" s="224" t="s">
        <v>222</v>
      </c>
      <c r="C561" s="75" t="s">
        <v>2</v>
      </c>
      <c r="D561" s="73">
        <v>53.2</v>
      </c>
      <c r="E561" s="30">
        <v>90</v>
      </c>
      <c r="F561" s="35">
        <f>ROUND((D561*E561%),0)</f>
        <v>48</v>
      </c>
      <c r="G561" s="30"/>
      <c r="H561" s="33" t="s">
        <v>54</v>
      </c>
    </row>
    <row r="562" spans="1:8" s="23" customFormat="1" ht="15.75" thickBot="1">
      <c r="A562" s="195"/>
      <c r="B562" s="231" t="s">
        <v>223</v>
      </c>
      <c r="C562" s="75" t="s">
        <v>11</v>
      </c>
      <c r="D562" s="73">
        <v>1</v>
      </c>
      <c r="E562" s="30">
        <f>F562/D562%</f>
        <v>100</v>
      </c>
      <c r="F562" s="30">
        <v>1</v>
      </c>
      <c r="G562" s="30"/>
      <c r="H562" s="39" t="s">
        <v>48</v>
      </c>
    </row>
    <row r="563" spans="1:8" s="23" customFormat="1" ht="15">
      <c r="A563" s="192" t="s">
        <v>10</v>
      </c>
      <c r="B563" s="186" t="s">
        <v>466</v>
      </c>
      <c r="C563" s="218"/>
      <c r="D563" s="294"/>
      <c r="E563" s="59"/>
      <c r="F563" s="59"/>
      <c r="G563" s="59"/>
      <c r="H563" s="66"/>
    </row>
    <row r="564" spans="1:8" s="23" customFormat="1" ht="15">
      <c r="A564" s="187"/>
      <c r="B564" s="228" t="s">
        <v>64</v>
      </c>
      <c r="C564" s="75" t="s">
        <v>2</v>
      </c>
      <c r="D564" s="293">
        <f>1920</f>
        <v>1920</v>
      </c>
      <c r="E564" s="30">
        <v>60</v>
      </c>
      <c r="F564" s="35">
        <f aca="true" t="shared" si="26" ref="F564:F570">ROUND((D564*E564%),0)</f>
        <v>1152</v>
      </c>
      <c r="G564" s="32"/>
      <c r="H564" s="39" t="s">
        <v>362</v>
      </c>
    </row>
    <row r="565" spans="1:8" s="23" customFormat="1" ht="15">
      <c r="A565" s="187"/>
      <c r="B565" s="224" t="s">
        <v>403</v>
      </c>
      <c r="C565" s="75" t="s">
        <v>2</v>
      </c>
      <c r="D565" s="293">
        <v>384</v>
      </c>
      <c r="E565" s="30">
        <v>70</v>
      </c>
      <c r="F565" s="35">
        <f t="shared" si="26"/>
        <v>269</v>
      </c>
      <c r="G565" s="32"/>
      <c r="H565" s="39" t="s">
        <v>53</v>
      </c>
    </row>
    <row r="566" spans="1:8" s="23" customFormat="1" ht="15">
      <c r="A566" s="187"/>
      <c r="B566" s="224" t="s">
        <v>206</v>
      </c>
      <c r="C566" s="75" t="s">
        <v>431</v>
      </c>
      <c r="D566" s="73"/>
      <c r="E566" s="30"/>
      <c r="F566" s="30">
        <v>830</v>
      </c>
      <c r="G566" s="34" t="s">
        <v>247</v>
      </c>
      <c r="H566" s="33"/>
    </row>
    <row r="567" spans="1:8" s="23" customFormat="1" ht="15">
      <c r="A567" s="187"/>
      <c r="B567" s="224" t="s">
        <v>231</v>
      </c>
      <c r="C567" s="75" t="s">
        <v>2</v>
      </c>
      <c r="D567" s="293">
        <f>(F566*0.6)</f>
        <v>498</v>
      </c>
      <c r="E567" s="30">
        <v>70</v>
      </c>
      <c r="F567" s="35">
        <f t="shared" si="26"/>
        <v>349</v>
      </c>
      <c r="G567" s="53"/>
      <c r="H567" s="39" t="s">
        <v>53</v>
      </c>
    </row>
    <row r="568" spans="1:8" s="23" customFormat="1" ht="15">
      <c r="A568" s="195"/>
      <c r="B568" s="231" t="s">
        <v>226</v>
      </c>
      <c r="C568" s="75" t="s">
        <v>2</v>
      </c>
      <c r="D568" s="293">
        <v>224</v>
      </c>
      <c r="E568" s="30">
        <v>90</v>
      </c>
      <c r="F568" s="35">
        <f t="shared" si="26"/>
        <v>202</v>
      </c>
      <c r="G568" s="34"/>
      <c r="H568" s="39" t="s">
        <v>48</v>
      </c>
    </row>
    <row r="569" spans="1:8" s="23" customFormat="1" ht="15">
      <c r="A569" s="187"/>
      <c r="B569" s="176" t="s">
        <v>221</v>
      </c>
      <c r="C569" s="83" t="s">
        <v>2</v>
      </c>
      <c r="D569" s="293">
        <v>224</v>
      </c>
      <c r="E569" s="30">
        <v>90</v>
      </c>
      <c r="F569" s="35">
        <f t="shared" si="26"/>
        <v>202</v>
      </c>
      <c r="G569" s="43"/>
      <c r="H569" s="40" t="s">
        <v>55</v>
      </c>
    </row>
    <row r="570" spans="1:8" s="23" customFormat="1" ht="15">
      <c r="A570" s="187"/>
      <c r="B570" s="224" t="s">
        <v>222</v>
      </c>
      <c r="C570" s="75" t="s">
        <v>2</v>
      </c>
      <c r="D570" s="293">
        <v>224</v>
      </c>
      <c r="E570" s="30">
        <v>90</v>
      </c>
      <c r="F570" s="35">
        <f t="shared" si="26"/>
        <v>202</v>
      </c>
      <c r="G570" s="30"/>
      <c r="H570" s="33" t="s">
        <v>54</v>
      </c>
    </row>
    <row r="571" spans="1:8" s="23" customFormat="1" ht="15">
      <c r="A571" s="195"/>
      <c r="B571" s="231" t="s">
        <v>224</v>
      </c>
      <c r="C571" s="75" t="s">
        <v>38</v>
      </c>
      <c r="D571" s="293" t="s">
        <v>404</v>
      </c>
      <c r="E571" s="30">
        <v>100</v>
      </c>
      <c r="F571" s="153" t="str">
        <f>D571</f>
        <v>6/57,6</v>
      </c>
      <c r="G571" s="30"/>
      <c r="H571" s="39" t="s">
        <v>53</v>
      </c>
    </row>
    <row r="572" spans="1:8" s="23" customFormat="1" ht="15">
      <c r="A572" s="195"/>
      <c r="B572" s="231" t="s">
        <v>223</v>
      </c>
      <c r="C572" s="75" t="s">
        <v>11</v>
      </c>
      <c r="D572" s="73">
        <v>1</v>
      </c>
      <c r="E572" s="30">
        <f>F572/D572%</f>
        <v>100</v>
      </c>
      <c r="F572" s="30">
        <v>1</v>
      </c>
      <c r="G572" s="30"/>
      <c r="H572" s="39" t="s">
        <v>48</v>
      </c>
    </row>
    <row r="573" spans="1:8" s="23" customFormat="1" ht="15">
      <c r="A573" s="187"/>
      <c r="B573" s="263" t="s">
        <v>365</v>
      </c>
      <c r="C573" s="83" t="s">
        <v>2</v>
      </c>
      <c r="D573" s="293">
        <v>1920</v>
      </c>
      <c r="E573" s="43">
        <v>70</v>
      </c>
      <c r="F573" s="35">
        <f>ROUND((D573*E573%),0)</f>
        <v>1344</v>
      </c>
      <c r="G573" s="79"/>
      <c r="H573" s="33" t="s">
        <v>402</v>
      </c>
    </row>
    <row r="574" spans="1:8" s="23" customFormat="1" ht="15">
      <c r="A574" s="187"/>
      <c r="B574" s="263" t="s">
        <v>365</v>
      </c>
      <c r="C574" s="83" t="s">
        <v>2</v>
      </c>
      <c r="D574" s="293">
        <v>1920</v>
      </c>
      <c r="E574" s="43">
        <v>10</v>
      </c>
      <c r="F574" s="35">
        <f>ROUND((D574*E574%),0)</f>
        <v>192</v>
      </c>
      <c r="G574" s="79"/>
      <c r="H574" s="33" t="s">
        <v>405</v>
      </c>
    </row>
    <row r="575" spans="1:8" s="23" customFormat="1" ht="15.75" thickBot="1">
      <c r="A575" s="196"/>
      <c r="B575" s="232" t="s">
        <v>229</v>
      </c>
      <c r="C575" s="197" t="s">
        <v>2</v>
      </c>
      <c r="D575" s="293">
        <v>1920</v>
      </c>
      <c r="E575" s="55">
        <v>90</v>
      </c>
      <c r="F575" s="35">
        <f>ROUND((D575*E575%),0)</f>
        <v>1728</v>
      </c>
      <c r="G575" s="55"/>
      <c r="H575" s="58" t="s">
        <v>199</v>
      </c>
    </row>
    <row r="576" spans="1:8" s="23" customFormat="1" ht="15">
      <c r="A576" s="192" t="s">
        <v>12</v>
      </c>
      <c r="B576" s="186" t="s">
        <v>413</v>
      </c>
      <c r="C576" s="218"/>
      <c r="D576" s="294"/>
      <c r="E576" s="59"/>
      <c r="F576" s="59"/>
      <c r="G576" s="59"/>
      <c r="H576" s="66"/>
    </row>
    <row r="577" spans="1:8" s="23" customFormat="1" ht="15">
      <c r="A577" s="187"/>
      <c r="B577" s="228" t="s">
        <v>64</v>
      </c>
      <c r="C577" s="75" t="s">
        <v>2</v>
      </c>
      <c r="D577" s="293">
        <f>13927</f>
        <v>13927</v>
      </c>
      <c r="E577" s="30">
        <v>60</v>
      </c>
      <c r="F577" s="35">
        <f>ROUND((D577*E577%),0)</f>
        <v>8356</v>
      </c>
      <c r="G577" s="32"/>
      <c r="H577" s="39" t="s">
        <v>362</v>
      </c>
    </row>
    <row r="578" spans="1:8" s="23" customFormat="1" ht="15">
      <c r="A578" s="187"/>
      <c r="B578" s="263" t="s">
        <v>365</v>
      </c>
      <c r="C578" s="83" t="s">
        <v>2</v>
      </c>
      <c r="D578" s="293">
        <v>13927</v>
      </c>
      <c r="E578" s="43">
        <v>70</v>
      </c>
      <c r="F578" s="35">
        <f>ROUND((D578*E578%),0)</f>
        <v>9749</v>
      </c>
      <c r="G578" s="79"/>
      <c r="H578" s="33" t="s">
        <v>402</v>
      </c>
    </row>
    <row r="579" spans="1:8" s="23" customFormat="1" ht="15">
      <c r="A579" s="187"/>
      <c r="B579" s="263" t="s">
        <v>365</v>
      </c>
      <c r="C579" s="83" t="s">
        <v>2</v>
      </c>
      <c r="D579" s="293">
        <v>13927</v>
      </c>
      <c r="E579" s="43">
        <v>10</v>
      </c>
      <c r="F579" s="35">
        <f>ROUND((D579*E579%),0)</f>
        <v>1393</v>
      </c>
      <c r="G579" s="79"/>
      <c r="H579" s="33" t="s">
        <v>405</v>
      </c>
    </row>
    <row r="580" spans="1:8" s="23" customFormat="1" ht="15.75" thickBot="1">
      <c r="A580" s="196"/>
      <c r="B580" s="232" t="s">
        <v>229</v>
      </c>
      <c r="C580" s="197" t="s">
        <v>2</v>
      </c>
      <c r="D580" s="278">
        <v>13927</v>
      </c>
      <c r="E580" s="55">
        <v>90</v>
      </c>
      <c r="F580" s="35">
        <f>ROUND((D580*E580%),0)</f>
        <v>12534</v>
      </c>
      <c r="G580" s="55"/>
      <c r="H580" s="58" t="s">
        <v>199</v>
      </c>
    </row>
    <row r="581" spans="1:8" s="23" customFormat="1" ht="15">
      <c r="A581" s="192" t="s">
        <v>13</v>
      </c>
      <c r="B581" s="186" t="s">
        <v>414</v>
      </c>
      <c r="C581" s="218"/>
      <c r="D581" s="296"/>
      <c r="E581" s="29"/>
      <c r="F581" s="29"/>
      <c r="G581" s="29"/>
      <c r="H581" s="66"/>
    </row>
    <row r="582" spans="1:8" s="23" customFormat="1" ht="15">
      <c r="A582" s="193"/>
      <c r="B582" s="224" t="s">
        <v>64</v>
      </c>
      <c r="C582" s="75" t="s">
        <v>2</v>
      </c>
      <c r="D582" s="293">
        <v>1814</v>
      </c>
      <c r="E582" s="30">
        <v>60</v>
      </c>
      <c r="F582" s="35">
        <f aca="true" t="shared" si="27" ref="F582:F589">ROUND((D582*E582%),0)</f>
        <v>1088</v>
      </c>
      <c r="G582" s="32"/>
      <c r="H582" s="39" t="s">
        <v>53</v>
      </c>
    </row>
    <row r="583" spans="1:8" s="23" customFormat="1" ht="15">
      <c r="A583" s="187"/>
      <c r="B583" s="224" t="s">
        <v>206</v>
      </c>
      <c r="C583" s="75" t="s">
        <v>1</v>
      </c>
      <c r="D583" s="293"/>
      <c r="E583" s="30"/>
      <c r="F583" s="30">
        <v>1720</v>
      </c>
      <c r="G583" s="34" t="s">
        <v>247</v>
      </c>
      <c r="H583" s="33"/>
    </row>
    <row r="584" spans="1:8" s="23" customFormat="1" ht="15">
      <c r="A584" s="187"/>
      <c r="B584" s="176" t="s">
        <v>231</v>
      </c>
      <c r="C584" s="83" t="s">
        <v>2</v>
      </c>
      <c r="D584" s="297">
        <f>(F583*0.6)</f>
        <v>1032</v>
      </c>
      <c r="E584" s="43">
        <v>70</v>
      </c>
      <c r="F584" s="35">
        <f t="shared" si="27"/>
        <v>722</v>
      </c>
      <c r="G584" s="92"/>
      <c r="H584" s="39" t="s">
        <v>53</v>
      </c>
    </row>
    <row r="585" spans="1:8" s="23" customFormat="1" ht="15">
      <c r="A585" s="207"/>
      <c r="B585" s="226" t="s">
        <v>226</v>
      </c>
      <c r="C585" s="75" t="s">
        <v>2</v>
      </c>
      <c r="D585" s="293">
        <v>834</v>
      </c>
      <c r="E585" s="30">
        <v>90</v>
      </c>
      <c r="F585" s="35">
        <f t="shared" si="27"/>
        <v>751</v>
      </c>
      <c r="G585" s="34"/>
      <c r="H585" s="39" t="s">
        <v>48</v>
      </c>
    </row>
    <row r="586" spans="1:8" s="23" customFormat="1" ht="15">
      <c r="A586" s="187"/>
      <c r="B586" s="176" t="s">
        <v>221</v>
      </c>
      <c r="C586" s="83" t="s">
        <v>2</v>
      </c>
      <c r="D586" s="297">
        <v>834</v>
      </c>
      <c r="E586" s="43">
        <v>90</v>
      </c>
      <c r="F586" s="35">
        <f t="shared" si="27"/>
        <v>751</v>
      </c>
      <c r="G586" s="43"/>
      <c r="H586" s="40" t="s">
        <v>55</v>
      </c>
    </row>
    <row r="587" spans="1:8" s="23" customFormat="1" ht="15">
      <c r="A587" s="187"/>
      <c r="B587" s="224" t="s">
        <v>222</v>
      </c>
      <c r="C587" s="75" t="s">
        <v>2</v>
      </c>
      <c r="D587" s="293">
        <v>834</v>
      </c>
      <c r="E587" s="30">
        <v>90</v>
      </c>
      <c r="F587" s="35">
        <f t="shared" si="27"/>
        <v>751</v>
      </c>
      <c r="G587" s="30"/>
      <c r="H587" s="33" t="s">
        <v>54</v>
      </c>
    </row>
    <row r="588" spans="1:8" s="23" customFormat="1" ht="15">
      <c r="A588" s="187"/>
      <c r="B588" s="226" t="s">
        <v>223</v>
      </c>
      <c r="C588" s="75" t="s">
        <v>11</v>
      </c>
      <c r="D588" s="73">
        <v>1</v>
      </c>
      <c r="E588" s="30">
        <f>F588/D588%</f>
        <v>100</v>
      </c>
      <c r="F588" s="30">
        <v>1</v>
      </c>
      <c r="G588" s="30"/>
      <c r="H588" s="39" t="s">
        <v>48</v>
      </c>
    </row>
    <row r="589" spans="1:8" s="23" customFormat="1" ht="15">
      <c r="A589" s="187"/>
      <c r="B589" s="263" t="s">
        <v>365</v>
      </c>
      <c r="C589" s="83" t="s">
        <v>2</v>
      </c>
      <c r="D589" s="293">
        <v>1814</v>
      </c>
      <c r="E589" s="43">
        <v>70</v>
      </c>
      <c r="F589" s="35">
        <f t="shared" si="27"/>
        <v>1270</v>
      </c>
      <c r="G589" s="79"/>
      <c r="H589" s="33" t="s">
        <v>402</v>
      </c>
    </row>
    <row r="590" spans="1:8" s="23" customFormat="1" ht="15">
      <c r="A590" s="187"/>
      <c r="B590" s="263" t="s">
        <v>365</v>
      </c>
      <c r="C590" s="83" t="s">
        <v>2</v>
      </c>
      <c r="D590" s="293">
        <v>1814</v>
      </c>
      <c r="E590" s="43">
        <v>10</v>
      </c>
      <c r="F590" s="35">
        <f>ROUND((D590*E590%),0)</f>
        <v>181</v>
      </c>
      <c r="G590" s="79"/>
      <c r="H590" s="33" t="s">
        <v>405</v>
      </c>
    </row>
    <row r="591" spans="1:8" s="23" customFormat="1" ht="15.75" thickBot="1">
      <c r="A591" s="188"/>
      <c r="B591" s="238" t="s">
        <v>229</v>
      </c>
      <c r="C591" s="197" t="s">
        <v>2</v>
      </c>
      <c r="D591" s="278">
        <v>1814</v>
      </c>
      <c r="E591" s="55">
        <v>90</v>
      </c>
      <c r="F591" s="35">
        <f>ROUND((D591*E591%),0)</f>
        <v>1633</v>
      </c>
      <c r="G591" s="55"/>
      <c r="H591" s="58" t="s">
        <v>199</v>
      </c>
    </row>
    <row r="592" spans="1:8" s="23" customFormat="1" ht="15.75" thickBot="1">
      <c r="A592" s="167" t="s">
        <v>14</v>
      </c>
      <c r="B592" s="264" t="s">
        <v>407</v>
      </c>
      <c r="C592" s="217"/>
      <c r="D592" s="298"/>
      <c r="E592" s="155"/>
      <c r="F592" s="155"/>
      <c r="G592" s="155"/>
      <c r="H592" s="156"/>
    </row>
    <row r="593" spans="1:8" s="23" customFormat="1" ht="15">
      <c r="A593" s="195"/>
      <c r="B593" s="231" t="s">
        <v>403</v>
      </c>
      <c r="C593" s="75" t="s">
        <v>2</v>
      </c>
      <c r="D593" s="73">
        <v>182.7</v>
      </c>
      <c r="E593" s="30">
        <v>90</v>
      </c>
      <c r="F593" s="35">
        <f aca="true" t="shared" si="28" ref="F593:F599">ROUND((D593*E593%),0)</f>
        <v>164</v>
      </c>
      <c r="G593" s="30"/>
      <c r="H593" s="39" t="s">
        <v>53</v>
      </c>
    </row>
    <row r="594" spans="1:8" s="160" customFormat="1" ht="15">
      <c r="A594" s="195"/>
      <c r="B594" s="231" t="s">
        <v>301</v>
      </c>
      <c r="C594" s="75" t="s">
        <v>2</v>
      </c>
      <c r="D594" s="73">
        <v>1692.8</v>
      </c>
      <c r="E594" s="157">
        <v>80</v>
      </c>
      <c r="F594" s="158">
        <f t="shared" si="28"/>
        <v>1354</v>
      </c>
      <c r="G594" s="157"/>
      <c r="H594" s="159" t="s">
        <v>406</v>
      </c>
    </row>
    <row r="595" spans="1:8" s="23" customFormat="1" ht="15.75" thickBot="1">
      <c r="A595" s="195"/>
      <c r="B595" s="231" t="s">
        <v>229</v>
      </c>
      <c r="C595" s="75" t="s">
        <v>2</v>
      </c>
      <c r="D595" s="73">
        <v>1692.8</v>
      </c>
      <c r="E595" s="30">
        <v>90</v>
      </c>
      <c r="F595" s="35">
        <f t="shared" si="28"/>
        <v>1524</v>
      </c>
      <c r="G595" s="30"/>
      <c r="H595" s="39" t="s">
        <v>199</v>
      </c>
    </row>
    <row r="596" spans="1:8" s="23" customFormat="1" ht="15.75" thickBot="1">
      <c r="A596" s="167" t="s">
        <v>15</v>
      </c>
      <c r="B596" s="264" t="s">
        <v>408</v>
      </c>
      <c r="C596" s="217"/>
      <c r="D596" s="298"/>
      <c r="E596" s="155"/>
      <c r="F596" s="155"/>
      <c r="G596" s="155"/>
      <c r="H596" s="156"/>
    </row>
    <row r="597" spans="1:8" s="23" customFormat="1" ht="15">
      <c r="A597" s="195"/>
      <c r="B597" s="231" t="s">
        <v>415</v>
      </c>
      <c r="C597" s="75" t="s">
        <v>2</v>
      </c>
      <c r="D597" s="293">
        <v>196</v>
      </c>
      <c r="E597" s="30">
        <v>70</v>
      </c>
      <c r="F597" s="35">
        <f t="shared" si="28"/>
        <v>137</v>
      </c>
      <c r="G597" s="30"/>
      <c r="H597" s="39" t="s">
        <v>393</v>
      </c>
    </row>
    <row r="598" spans="1:8" s="160" customFormat="1" ht="15">
      <c r="A598" s="195"/>
      <c r="B598" s="231" t="s">
        <v>301</v>
      </c>
      <c r="C598" s="75" t="s">
        <v>2</v>
      </c>
      <c r="D598" s="293">
        <v>628</v>
      </c>
      <c r="E598" s="157">
        <v>80</v>
      </c>
      <c r="F598" s="158">
        <f t="shared" si="28"/>
        <v>502</v>
      </c>
      <c r="G598" s="157"/>
      <c r="H598" s="159" t="s">
        <v>406</v>
      </c>
    </row>
    <row r="599" spans="1:8" s="23" customFormat="1" ht="15.75" thickBot="1">
      <c r="A599" s="196"/>
      <c r="B599" s="232" t="s">
        <v>229</v>
      </c>
      <c r="C599" s="197" t="s">
        <v>2</v>
      </c>
      <c r="D599" s="278">
        <v>628</v>
      </c>
      <c r="E599" s="55">
        <v>90</v>
      </c>
      <c r="F599" s="154">
        <f t="shared" si="28"/>
        <v>565</v>
      </c>
      <c r="G599" s="55"/>
      <c r="H599" s="58" t="s">
        <v>199</v>
      </c>
    </row>
    <row r="600" spans="1:8" s="23" customFormat="1" ht="15.75" thickBot="1">
      <c r="A600" s="352" t="s">
        <v>416</v>
      </c>
      <c r="B600" s="353"/>
      <c r="C600" s="353"/>
      <c r="D600" s="353"/>
      <c r="E600" s="353"/>
      <c r="F600" s="353"/>
      <c r="G600" s="353"/>
      <c r="H600" s="354"/>
    </row>
    <row r="601" spans="1:8" s="23" customFormat="1" ht="15">
      <c r="A601" s="194" t="s">
        <v>0</v>
      </c>
      <c r="B601" s="172" t="s">
        <v>432</v>
      </c>
      <c r="C601" s="199"/>
      <c r="D601" s="294"/>
      <c r="E601" s="59"/>
      <c r="F601" s="59"/>
      <c r="G601" s="59"/>
      <c r="H601" s="80"/>
    </row>
    <row r="602" spans="1:8" s="23" customFormat="1" ht="15">
      <c r="A602" s="195"/>
      <c r="B602" s="231" t="s">
        <v>226</v>
      </c>
      <c r="C602" s="75" t="s">
        <v>2</v>
      </c>
      <c r="D602" s="293">
        <v>84</v>
      </c>
      <c r="E602" s="30">
        <v>90</v>
      </c>
      <c r="F602" s="35">
        <f>ROUND((D602*E602%),0)</f>
        <v>76</v>
      </c>
      <c r="G602" s="34"/>
      <c r="H602" s="39" t="s">
        <v>53</v>
      </c>
    </row>
    <row r="603" spans="1:8" s="23" customFormat="1" ht="15">
      <c r="A603" s="187"/>
      <c r="B603" s="176" t="s">
        <v>221</v>
      </c>
      <c r="C603" s="83" t="s">
        <v>2</v>
      </c>
      <c r="D603" s="293">
        <v>84</v>
      </c>
      <c r="E603" s="30">
        <v>90</v>
      </c>
      <c r="F603" s="35">
        <f>ROUND((D603*E603%),0)</f>
        <v>76</v>
      </c>
      <c r="G603" s="43"/>
      <c r="H603" s="40" t="s">
        <v>55</v>
      </c>
    </row>
    <row r="604" spans="1:8" s="23" customFormat="1" ht="15">
      <c r="A604" s="187"/>
      <c r="B604" s="224" t="s">
        <v>222</v>
      </c>
      <c r="C604" s="75" t="s">
        <v>2</v>
      </c>
      <c r="D604" s="293">
        <v>84</v>
      </c>
      <c r="E604" s="30">
        <v>100</v>
      </c>
      <c r="F604" s="35">
        <f>ROUND((D604*E604%),0)</f>
        <v>84</v>
      </c>
      <c r="G604" s="30"/>
      <c r="H604" s="33" t="s">
        <v>54</v>
      </c>
    </row>
    <row r="605" spans="1:8" s="23" customFormat="1" ht="15">
      <c r="A605" s="195"/>
      <c r="B605" s="231" t="s">
        <v>223</v>
      </c>
      <c r="C605" s="75" t="s">
        <v>11</v>
      </c>
      <c r="D605" s="73">
        <v>1</v>
      </c>
      <c r="E605" s="30">
        <v>100</v>
      </c>
      <c r="F605" s="30">
        <v>1</v>
      </c>
      <c r="G605" s="30"/>
      <c r="H605" s="39" t="s">
        <v>53</v>
      </c>
    </row>
    <row r="606" spans="1:8" s="23" customFormat="1" ht="15.75" thickBot="1">
      <c r="A606" s="195"/>
      <c r="B606" s="231" t="s">
        <v>229</v>
      </c>
      <c r="C606" s="75" t="s">
        <v>2</v>
      </c>
      <c r="D606" s="293">
        <v>8000</v>
      </c>
      <c r="E606" s="30">
        <v>90</v>
      </c>
      <c r="F606" s="35">
        <f>ROUND((D606*E606%),0)</f>
        <v>7200</v>
      </c>
      <c r="G606" s="30"/>
      <c r="H606" s="39" t="s">
        <v>199</v>
      </c>
    </row>
    <row r="607" spans="1:8" s="23" customFormat="1" ht="15">
      <c r="A607" s="194" t="s">
        <v>3</v>
      </c>
      <c r="B607" s="172" t="s">
        <v>110</v>
      </c>
      <c r="C607" s="199"/>
      <c r="D607" s="294"/>
      <c r="E607" s="59"/>
      <c r="F607" s="59"/>
      <c r="G607" s="59"/>
      <c r="H607" s="80"/>
    </row>
    <row r="608" spans="1:8" s="23" customFormat="1" ht="15.75" thickBot="1">
      <c r="A608" s="195"/>
      <c r="B608" s="231" t="s">
        <v>229</v>
      </c>
      <c r="C608" s="75" t="s">
        <v>2</v>
      </c>
      <c r="D608" s="293">
        <v>13500</v>
      </c>
      <c r="E608" s="30">
        <v>90</v>
      </c>
      <c r="F608" s="35">
        <f>ROUND((D608*E608%),0)</f>
        <v>12150</v>
      </c>
      <c r="G608" s="30"/>
      <c r="H608" s="39" t="s">
        <v>199</v>
      </c>
    </row>
    <row r="609" spans="1:8" s="23" customFormat="1" ht="15.75" thickBot="1">
      <c r="A609" s="355" t="s">
        <v>417</v>
      </c>
      <c r="B609" s="356"/>
      <c r="C609" s="356"/>
      <c r="D609" s="356"/>
      <c r="E609" s="356"/>
      <c r="F609" s="356"/>
      <c r="G609" s="356"/>
      <c r="H609" s="357"/>
    </row>
    <row r="610" spans="1:8" s="23" customFormat="1" ht="15">
      <c r="A610" s="194" t="s">
        <v>0</v>
      </c>
      <c r="B610" s="172" t="s">
        <v>434</v>
      </c>
      <c r="C610" s="199"/>
      <c r="D610" s="294"/>
      <c r="E610" s="59"/>
      <c r="F610" s="59"/>
      <c r="G610" s="59"/>
      <c r="H610" s="80"/>
    </row>
    <row r="611" spans="1:8" s="23" customFormat="1" ht="15">
      <c r="A611" s="369"/>
      <c r="B611" s="176" t="s">
        <v>231</v>
      </c>
      <c r="C611" s="83" t="s">
        <v>2</v>
      </c>
      <c r="D611" s="73">
        <v>3160</v>
      </c>
      <c r="E611" s="30">
        <v>80</v>
      </c>
      <c r="F611" s="31">
        <f>D611*80%</f>
        <v>2528</v>
      </c>
      <c r="G611" s="53"/>
      <c r="H611" s="39" t="s">
        <v>53</v>
      </c>
    </row>
    <row r="612" spans="1:8" s="23" customFormat="1" ht="15">
      <c r="A612" s="369"/>
      <c r="B612" s="236" t="s">
        <v>58</v>
      </c>
      <c r="C612" s="83" t="s">
        <v>2</v>
      </c>
      <c r="D612" s="73">
        <v>200</v>
      </c>
      <c r="E612" s="30">
        <v>100</v>
      </c>
      <c r="F612" s="31">
        <f>D612*100%</f>
        <v>200</v>
      </c>
      <c r="G612" s="30"/>
      <c r="H612" s="33" t="s">
        <v>436</v>
      </c>
    </row>
    <row r="613" spans="1:8" s="23" customFormat="1" ht="15">
      <c r="A613" s="369"/>
      <c r="B613" s="258" t="s">
        <v>205</v>
      </c>
      <c r="C613" s="83" t="s">
        <v>2</v>
      </c>
      <c r="D613" s="73">
        <v>200</v>
      </c>
      <c r="E613" s="30">
        <v>100</v>
      </c>
      <c r="F613" s="31">
        <f>D613*100%</f>
        <v>200</v>
      </c>
      <c r="G613" s="30"/>
      <c r="H613" s="33" t="s">
        <v>436</v>
      </c>
    </row>
    <row r="614" spans="1:8" s="23" customFormat="1" ht="15.75" thickBot="1">
      <c r="A614" s="370"/>
      <c r="B614" s="231" t="s">
        <v>229</v>
      </c>
      <c r="C614" s="75" t="s">
        <v>2</v>
      </c>
      <c r="D614" s="150">
        <v>400</v>
      </c>
      <c r="E614" s="69">
        <v>70</v>
      </c>
      <c r="F614" s="31">
        <f>D614*70%</f>
        <v>280</v>
      </c>
      <c r="G614" s="69"/>
      <c r="H614" s="39" t="s">
        <v>199</v>
      </c>
    </row>
    <row r="615" spans="1:8" s="23" customFormat="1" ht="15.75" thickBot="1">
      <c r="A615" s="167" t="s">
        <v>3</v>
      </c>
      <c r="B615" s="264" t="s">
        <v>433</v>
      </c>
      <c r="C615" s="217"/>
      <c r="D615" s="298"/>
      <c r="E615" s="155"/>
      <c r="F615" s="155"/>
      <c r="G615" s="155"/>
      <c r="H615" s="156"/>
    </row>
    <row r="616" spans="1:8" s="23" customFormat="1" ht="15">
      <c r="A616" s="195"/>
      <c r="B616" s="233" t="s">
        <v>231</v>
      </c>
      <c r="C616" s="83" t="s">
        <v>2</v>
      </c>
      <c r="D616" s="299">
        <v>3600</v>
      </c>
      <c r="E616" s="30">
        <v>80</v>
      </c>
      <c r="F616" s="31">
        <f>D616*80%</f>
        <v>2880</v>
      </c>
      <c r="G616" s="50"/>
      <c r="H616" s="39" t="s">
        <v>53</v>
      </c>
    </row>
    <row r="617" spans="1:8" s="23" customFormat="1" ht="15">
      <c r="A617" s="195"/>
      <c r="B617" s="231" t="s">
        <v>226</v>
      </c>
      <c r="C617" s="75" t="s">
        <v>2</v>
      </c>
      <c r="D617" s="293">
        <v>60</v>
      </c>
      <c r="E617" s="30">
        <v>90</v>
      </c>
      <c r="F617" s="35">
        <f>ROUND((D617*E617%),0)</f>
        <v>54</v>
      </c>
      <c r="G617" s="34"/>
      <c r="H617" s="39" t="s">
        <v>53</v>
      </c>
    </row>
    <row r="618" spans="1:8" s="23" customFormat="1" ht="15">
      <c r="A618" s="187"/>
      <c r="B618" s="176" t="s">
        <v>221</v>
      </c>
      <c r="C618" s="83" t="s">
        <v>2</v>
      </c>
      <c r="D618" s="293">
        <v>60</v>
      </c>
      <c r="E618" s="30">
        <v>90</v>
      </c>
      <c r="F618" s="35">
        <f>ROUND((D618*E618%),0)</f>
        <v>54</v>
      </c>
      <c r="G618" s="43"/>
      <c r="H618" s="40" t="s">
        <v>55</v>
      </c>
    </row>
    <row r="619" spans="1:8" s="23" customFormat="1" ht="15">
      <c r="A619" s="195"/>
      <c r="B619" s="231" t="s">
        <v>222</v>
      </c>
      <c r="C619" s="75" t="s">
        <v>2</v>
      </c>
      <c r="D619" s="293">
        <v>60</v>
      </c>
      <c r="E619" s="30">
        <v>90</v>
      </c>
      <c r="F619" s="35">
        <f>ROUND((D619*E619%),0)</f>
        <v>54</v>
      </c>
      <c r="G619" s="30"/>
      <c r="H619" s="33" t="s">
        <v>54</v>
      </c>
    </row>
    <row r="620" spans="1:8" s="23" customFormat="1" ht="15">
      <c r="A620" s="195"/>
      <c r="B620" s="248" t="s">
        <v>58</v>
      </c>
      <c r="C620" s="83" t="s">
        <v>2</v>
      </c>
      <c r="D620" s="73">
        <v>500</v>
      </c>
      <c r="E620" s="30">
        <v>20</v>
      </c>
      <c r="F620" s="31">
        <f>D620*20%</f>
        <v>100</v>
      </c>
      <c r="G620" s="30"/>
      <c r="H620" s="33" t="s">
        <v>436</v>
      </c>
    </row>
    <row r="621" spans="1:8" s="23" customFormat="1" ht="15">
      <c r="A621" s="195"/>
      <c r="B621" s="248" t="s">
        <v>205</v>
      </c>
      <c r="C621" s="83" t="s">
        <v>2</v>
      </c>
      <c r="D621" s="73">
        <v>500</v>
      </c>
      <c r="E621" s="30">
        <v>20</v>
      </c>
      <c r="F621" s="31">
        <f>D621*20%</f>
        <v>100</v>
      </c>
      <c r="G621" s="30"/>
      <c r="H621" s="33" t="s">
        <v>436</v>
      </c>
    </row>
    <row r="622" spans="1:8" s="23" customFormat="1" ht="15">
      <c r="A622" s="195"/>
      <c r="B622" s="231" t="s">
        <v>223</v>
      </c>
      <c r="C622" s="75" t="s">
        <v>11</v>
      </c>
      <c r="D622" s="73">
        <v>1</v>
      </c>
      <c r="E622" s="30">
        <f>F622/D622%</f>
        <v>100</v>
      </c>
      <c r="F622" s="30">
        <v>1</v>
      </c>
      <c r="G622" s="30"/>
      <c r="H622" s="39" t="s">
        <v>53</v>
      </c>
    </row>
    <row r="623" spans="1:8" s="23" customFormat="1" ht="15.75" thickBot="1">
      <c r="A623" s="195"/>
      <c r="B623" s="231" t="s">
        <v>229</v>
      </c>
      <c r="C623" s="75" t="s">
        <v>2</v>
      </c>
      <c r="D623" s="150">
        <v>445</v>
      </c>
      <c r="E623" s="69">
        <v>90</v>
      </c>
      <c r="F623" s="31">
        <f>D623*90%</f>
        <v>400.5</v>
      </c>
      <c r="G623" s="69"/>
      <c r="H623" s="39" t="s">
        <v>199</v>
      </c>
    </row>
    <row r="624" spans="1:8" s="23" customFormat="1" ht="15.75" thickBot="1">
      <c r="A624" s="167" t="s">
        <v>8</v>
      </c>
      <c r="B624" s="264" t="s">
        <v>438</v>
      </c>
      <c r="C624" s="217"/>
      <c r="D624" s="298"/>
      <c r="E624" s="155"/>
      <c r="F624" s="155"/>
      <c r="G624" s="155"/>
      <c r="H624" s="156"/>
    </row>
    <row r="625" spans="1:8" s="23" customFormat="1" ht="15">
      <c r="A625" s="195"/>
      <c r="B625" s="233" t="s">
        <v>231</v>
      </c>
      <c r="C625" s="83" t="s">
        <v>2</v>
      </c>
      <c r="D625" s="73">
        <v>7600</v>
      </c>
      <c r="E625" s="30">
        <v>80</v>
      </c>
      <c r="F625" s="31">
        <f>D625*80%</f>
        <v>6080</v>
      </c>
      <c r="G625" s="53"/>
      <c r="H625" s="39" t="s">
        <v>53</v>
      </c>
    </row>
    <row r="626" spans="1:8" s="160" customFormat="1" ht="15">
      <c r="A626" s="195"/>
      <c r="B626" s="231" t="s">
        <v>301</v>
      </c>
      <c r="C626" s="75" t="s">
        <v>2</v>
      </c>
      <c r="D626" s="73">
        <v>1692.8</v>
      </c>
      <c r="E626" s="157">
        <v>80</v>
      </c>
      <c r="F626" s="158">
        <f>ROUND((D626*E626%),0)</f>
        <v>1354</v>
      </c>
      <c r="G626" s="157"/>
      <c r="H626" s="159" t="s">
        <v>418</v>
      </c>
    </row>
    <row r="627" spans="1:8" s="160" customFormat="1" ht="15">
      <c r="A627" s="195"/>
      <c r="B627" s="248" t="s">
        <v>58</v>
      </c>
      <c r="C627" s="83" t="s">
        <v>2</v>
      </c>
      <c r="D627" s="73">
        <v>500</v>
      </c>
      <c r="E627" s="30">
        <v>20</v>
      </c>
      <c r="F627" s="31">
        <f>D627*20%</f>
        <v>100</v>
      </c>
      <c r="G627" s="157"/>
      <c r="H627" s="33" t="s">
        <v>436</v>
      </c>
    </row>
    <row r="628" spans="1:8" s="160" customFormat="1" ht="15">
      <c r="A628" s="195"/>
      <c r="B628" s="248" t="s">
        <v>205</v>
      </c>
      <c r="C628" s="83" t="s">
        <v>2</v>
      </c>
      <c r="D628" s="73">
        <v>500</v>
      </c>
      <c r="E628" s="30">
        <v>20</v>
      </c>
      <c r="F628" s="31">
        <f>D628*20%</f>
        <v>100</v>
      </c>
      <c r="G628" s="157"/>
      <c r="H628" s="33" t="s">
        <v>436</v>
      </c>
    </row>
    <row r="629" spans="1:8" s="23" customFormat="1" ht="15.75" thickBot="1">
      <c r="A629" s="195"/>
      <c r="B629" s="231" t="s">
        <v>229</v>
      </c>
      <c r="C629" s="75" t="s">
        <v>2</v>
      </c>
      <c r="D629" s="293">
        <v>3210</v>
      </c>
      <c r="E629" s="30">
        <v>90</v>
      </c>
      <c r="F629" s="35">
        <f>ROUND((D629*E629%),0)</f>
        <v>2889</v>
      </c>
      <c r="G629" s="30"/>
      <c r="H629" s="39" t="s">
        <v>199</v>
      </c>
    </row>
    <row r="630" spans="1:8" s="23" customFormat="1" ht="15.75" thickBot="1">
      <c r="A630" s="167" t="s">
        <v>9</v>
      </c>
      <c r="B630" s="264" t="s">
        <v>439</v>
      </c>
      <c r="C630" s="217"/>
      <c r="D630" s="298"/>
      <c r="E630" s="155"/>
      <c r="F630" s="155"/>
      <c r="G630" s="155"/>
      <c r="H630" s="156"/>
    </row>
    <row r="631" spans="1:8" s="23" customFormat="1" ht="15">
      <c r="A631" s="195"/>
      <c r="B631" s="233" t="s">
        <v>231</v>
      </c>
      <c r="C631" s="83" t="s">
        <v>2</v>
      </c>
      <c r="D631" s="73">
        <v>2365</v>
      </c>
      <c r="E631" s="30">
        <v>100</v>
      </c>
      <c r="F631" s="31">
        <f>D631*100%</f>
        <v>2365</v>
      </c>
      <c r="G631" s="53"/>
      <c r="H631" s="39" t="s">
        <v>53</v>
      </c>
    </row>
    <row r="632" spans="1:8" s="23" customFormat="1" ht="15">
      <c r="A632" s="195"/>
      <c r="B632" s="248" t="s">
        <v>58</v>
      </c>
      <c r="C632" s="83" t="s">
        <v>2</v>
      </c>
      <c r="D632" s="73">
        <v>500</v>
      </c>
      <c r="E632" s="30">
        <v>20</v>
      </c>
      <c r="F632" s="31">
        <f>D632*20%</f>
        <v>100</v>
      </c>
      <c r="G632" s="157"/>
      <c r="H632" s="33" t="s">
        <v>436</v>
      </c>
    </row>
    <row r="633" spans="1:8" s="23" customFormat="1" ht="15">
      <c r="A633" s="195"/>
      <c r="B633" s="248" t="s">
        <v>205</v>
      </c>
      <c r="C633" s="83" t="s">
        <v>2</v>
      </c>
      <c r="D633" s="73">
        <v>500</v>
      </c>
      <c r="E633" s="30">
        <v>20</v>
      </c>
      <c r="F633" s="31">
        <f>D633*20%</f>
        <v>100</v>
      </c>
      <c r="G633" s="157"/>
      <c r="H633" s="33" t="s">
        <v>436</v>
      </c>
    </row>
    <row r="634" spans="1:8" s="23" customFormat="1" ht="15.75" thickBot="1">
      <c r="A634" s="195"/>
      <c r="B634" s="231" t="s">
        <v>229</v>
      </c>
      <c r="C634" s="75" t="s">
        <v>2</v>
      </c>
      <c r="D634" s="293">
        <v>400</v>
      </c>
      <c r="E634" s="30">
        <v>90</v>
      </c>
      <c r="F634" s="35">
        <f>ROUND((D634*E634%),0)</f>
        <v>360</v>
      </c>
      <c r="G634" s="30"/>
      <c r="H634" s="39" t="s">
        <v>199</v>
      </c>
    </row>
    <row r="635" spans="1:8" s="23" customFormat="1" ht="15.75" thickBot="1">
      <c r="A635" s="167" t="s">
        <v>10</v>
      </c>
      <c r="B635" s="264" t="s">
        <v>440</v>
      </c>
      <c r="C635" s="217"/>
      <c r="D635" s="298"/>
      <c r="E635" s="155"/>
      <c r="F635" s="155"/>
      <c r="G635" s="155"/>
      <c r="H635" s="156"/>
    </row>
    <row r="636" spans="1:8" s="23" customFormat="1" ht="15">
      <c r="A636" s="195"/>
      <c r="B636" s="233" t="s">
        <v>231</v>
      </c>
      <c r="C636" s="83" t="s">
        <v>2</v>
      </c>
      <c r="D636" s="73">
        <v>3215</v>
      </c>
      <c r="E636" s="30">
        <v>90</v>
      </c>
      <c r="F636" s="31">
        <f>D636*90%</f>
        <v>2893.5</v>
      </c>
      <c r="G636" s="53"/>
      <c r="H636" s="39" t="s">
        <v>53</v>
      </c>
    </row>
    <row r="637" spans="1:8" s="23" customFormat="1" ht="15">
      <c r="A637" s="195"/>
      <c r="B637" s="248" t="s">
        <v>58</v>
      </c>
      <c r="C637" s="83" t="s">
        <v>2</v>
      </c>
      <c r="D637" s="73">
        <v>500</v>
      </c>
      <c r="E637" s="30">
        <v>20</v>
      </c>
      <c r="F637" s="31">
        <f>D637*20%</f>
        <v>100</v>
      </c>
      <c r="G637" s="157"/>
      <c r="H637" s="33" t="s">
        <v>436</v>
      </c>
    </row>
    <row r="638" spans="1:8" s="23" customFormat="1" ht="15">
      <c r="A638" s="195"/>
      <c r="B638" s="248" t="s">
        <v>205</v>
      </c>
      <c r="C638" s="83" t="s">
        <v>2</v>
      </c>
      <c r="D638" s="73">
        <v>500</v>
      </c>
      <c r="E638" s="30">
        <v>20</v>
      </c>
      <c r="F638" s="31">
        <f>D638*20%</f>
        <v>100</v>
      </c>
      <c r="G638" s="157"/>
      <c r="H638" s="33" t="s">
        <v>436</v>
      </c>
    </row>
    <row r="639" spans="1:8" s="23" customFormat="1" ht="15.75" thickBot="1">
      <c r="A639" s="195"/>
      <c r="B639" s="231" t="s">
        <v>229</v>
      </c>
      <c r="C639" s="75" t="s">
        <v>2</v>
      </c>
      <c r="D639" s="293">
        <v>400</v>
      </c>
      <c r="E639" s="30">
        <v>90</v>
      </c>
      <c r="F639" s="35">
        <f>ROUND((D639*E639%),0)</f>
        <v>360</v>
      </c>
      <c r="G639" s="30"/>
      <c r="H639" s="39" t="s">
        <v>199</v>
      </c>
    </row>
    <row r="640" spans="1:8" s="23" customFormat="1" ht="15.75" thickBot="1">
      <c r="A640" s="167" t="s">
        <v>12</v>
      </c>
      <c r="B640" s="264" t="s">
        <v>441</v>
      </c>
      <c r="C640" s="217"/>
      <c r="D640" s="298"/>
      <c r="E640" s="155"/>
      <c r="F640" s="155"/>
      <c r="G640" s="155"/>
      <c r="H640" s="156"/>
    </row>
    <row r="641" spans="1:8" s="23" customFormat="1" ht="15">
      <c r="A641" s="195"/>
      <c r="B641" s="233" t="s">
        <v>231</v>
      </c>
      <c r="C641" s="83" t="s">
        <v>2</v>
      </c>
      <c r="D641" s="73">
        <v>10920</v>
      </c>
      <c r="E641" s="30">
        <v>70</v>
      </c>
      <c r="F641" s="31">
        <f>D641*70%</f>
        <v>7643.999999999999</v>
      </c>
      <c r="G641" s="53"/>
      <c r="H641" s="39" t="s">
        <v>53</v>
      </c>
    </row>
    <row r="642" spans="1:8" s="23" customFormat="1" ht="15">
      <c r="A642" s="195"/>
      <c r="B642" s="248" t="s">
        <v>58</v>
      </c>
      <c r="C642" s="83" t="s">
        <v>2</v>
      </c>
      <c r="D642" s="73">
        <v>500</v>
      </c>
      <c r="E642" s="30">
        <v>20</v>
      </c>
      <c r="F642" s="31">
        <f>D642*20%</f>
        <v>100</v>
      </c>
      <c r="G642" s="157"/>
      <c r="H642" s="33" t="s">
        <v>436</v>
      </c>
    </row>
    <row r="643" spans="1:8" s="23" customFormat="1" ht="15">
      <c r="A643" s="195"/>
      <c r="B643" s="248" t="s">
        <v>205</v>
      </c>
      <c r="C643" s="83" t="s">
        <v>2</v>
      </c>
      <c r="D643" s="73">
        <v>500</v>
      </c>
      <c r="E643" s="30">
        <v>20</v>
      </c>
      <c r="F643" s="31">
        <f>D643*20%</f>
        <v>100</v>
      </c>
      <c r="G643" s="157"/>
      <c r="H643" s="33" t="s">
        <v>436</v>
      </c>
    </row>
    <row r="644" spans="1:8" s="23" customFormat="1" ht="15.75" thickBot="1">
      <c r="A644" s="195"/>
      <c r="B644" s="231" t="s">
        <v>229</v>
      </c>
      <c r="C644" s="75" t="s">
        <v>2</v>
      </c>
      <c r="D644" s="293">
        <v>400</v>
      </c>
      <c r="E644" s="30">
        <v>90</v>
      </c>
      <c r="F644" s="35">
        <f>ROUND((D644*E644%),0)</f>
        <v>360</v>
      </c>
      <c r="G644" s="30"/>
      <c r="H644" s="39" t="s">
        <v>199</v>
      </c>
    </row>
    <row r="645" spans="1:8" s="23" customFormat="1" ht="15.75" thickBot="1">
      <c r="A645" s="167" t="s">
        <v>13</v>
      </c>
      <c r="B645" s="264" t="s">
        <v>442</v>
      </c>
      <c r="C645" s="217"/>
      <c r="D645" s="298"/>
      <c r="E645" s="155"/>
      <c r="F645" s="155"/>
      <c r="G645" s="155"/>
      <c r="H645" s="156"/>
    </row>
    <row r="646" spans="1:8" s="23" customFormat="1" ht="15">
      <c r="A646" s="195"/>
      <c r="B646" s="233" t="s">
        <v>231</v>
      </c>
      <c r="C646" s="83" t="s">
        <v>2</v>
      </c>
      <c r="D646" s="73">
        <v>1600</v>
      </c>
      <c r="E646" s="30">
        <v>70</v>
      </c>
      <c r="F646" s="31">
        <f>D646*70%</f>
        <v>1120</v>
      </c>
      <c r="G646" s="53"/>
      <c r="H646" s="39" t="s">
        <v>53</v>
      </c>
    </row>
    <row r="647" spans="1:8" s="23" customFormat="1" ht="15">
      <c r="A647" s="195"/>
      <c r="B647" s="248" t="s">
        <v>58</v>
      </c>
      <c r="C647" s="83" t="s">
        <v>2</v>
      </c>
      <c r="D647" s="73">
        <v>500</v>
      </c>
      <c r="E647" s="30">
        <v>20</v>
      </c>
      <c r="F647" s="31">
        <f>D647*20%</f>
        <v>100</v>
      </c>
      <c r="G647" s="157"/>
      <c r="H647" s="33" t="s">
        <v>436</v>
      </c>
    </row>
    <row r="648" spans="1:8" s="23" customFormat="1" ht="15">
      <c r="A648" s="195"/>
      <c r="B648" s="248" t="s">
        <v>205</v>
      </c>
      <c r="C648" s="83" t="s">
        <v>2</v>
      </c>
      <c r="D648" s="73">
        <v>500</v>
      </c>
      <c r="E648" s="30">
        <v>20</v>
      </c>
      <c r="F648" s="31">
        <f>D648*20%</f>
        <v>100</v>
      </c>
      <c r="G648" s="157"/>
      <c r="H648" s="33" t="s">
        <v>436</v>
      </c>
    </row>
    <row r="649" spans="1:8" s="23" customFormat="1" ht="15.75" thickBot="1">
      <c r="A649" s="195"/>
      <c r="B649" s="231" t="s">
        <v>229</v>
      </c>
      <c r="C649" s="75" t="s">
        <v>2</v>
      </c>
      <c r="D649" s="293">
        <v>400</v>
      </c>
      <c r="E649" s="30">
        <v>90</v>
      </c>
      <c r="F649" s="35">
        <f>ROUND((D649*E649%),0)</f>
        <v>360</v>
      </c>
      <c r="G649" s="30"/>
      <c r="H649" s="39" t="s">
        <v>199</v>
      </c>
    </row>
    <row r="650" spans="1:8" s="23" customFormat="1" ht="15.75" thickBot="1">
      <c r="A650" s="167" t="s">
        <v>14</v>
      </c>
      <c r="B650" s="264" t="s">
        <v>443</v>
      </c>
      <c r="C650" s="217"/>
      <c r="D650" s="298"/>
      <c r="E650" s="155"/>
      <c r="F650" s="155"/>
      <c r="G650" s="155"/>
      <c r="H650" s="156"/>
    </row>
    <row r="651" spans="1:8" s="23" customFormat="1" ht="15">
      <c r="A651" s="195"/>
      <c r="B651" s="233" t="s">
        <v>231</v>
      </c>
      <c r="C651" s="83" t="s">
        <v>2</v>
      </c>
      <c r="D651" s="73">
        <v>3880</v>
      </c>
      <c r="E651" s="30">
        <v>70</v>
      </c>
      <c r="F651" s="31">
        <f>D651*70%</f>
        <v>2716</v>
      </c>
      <c r="G651" s="53"/>
      <c r="H651" s="39" t="s">
        <v>53</v>
      </c>
    </row>
    <row r="652" spans="1:8" s="23" customFormat="1" ht="15">
      <c r="A652" s="195"/>
      <c r="B652" s="248" t="s">
        <v>58</v>
      </c>
      <c r="C652" s="83" t="s">
        <v>2</v>
      </c>
      <c r="D652" s="73">
        <v>500</v>
      </c>
      <c r="E652" s="30">
        <v>20</v>
      </c>
      <c r="F652" s="31">
        <f>D652*20%</f>
        <v>100</v>
      </c>
      <c r="G652" s="157"/>
      <c r="H652" s="33" t="s">
        <v>436</v>
      </c>
    </row>
    <row r="653" spans="1:8" s="23" customFormat="1" ht="15">
      <c r="A653" s="195"/>
      <c r="B653" s="248" t="s">
        <v>205</v>
      </c>
      <c r="C653" s="83" t="s">
        <v>2</v>
      </c>
      <c r="D653" s="73">
        <v>500</v>
      </c>
      <c r="E653" s="30">
        <v>20</v>
      </c>
      <c r="F653" s="31">
        <f>D653*20%</f>
        <v>100</v>
      </c>
      <c r="G653" s="157"/>
      <c r="H653" s="33" t="s">
        <v>436</v>
      </c>
    </row>
    <row r="654" spans="1:8" s="23" customFormat="1" ht="15.75" thickBot="1">
      <c r="A654" s="195"/>
      <c r="B654" s="231" t="s">
        <v>229</v>
      </c>
      <c r="C654" s="75" t="s">
        <v>2</v>
      </c>
      <c r="D654" s="293">
        <v>400</v>
      </c>
      <c r="E654" s="30">
        <v>90</v>
      </c>
      <c r="F654" s="35">
        <f>ROUND((D654*E654%),0)</f>
        <v>360</v>
      </c>
      <c r="G654" s="30"/>
      <c r="H654" s="39" t="s">
        <v>199</v>
      </c>
    </row>
    <row r="655" spans="1:8" s="23" customFormat="1" ht="15.75" thickBot="1">
      <c r="A655" s="167" t="s">
        <v>15</v>
      </c>
      <c r="B655" s="264" t="s">
        <v>437</v>
      </c>
      <c r="C655" s="217"/>
      <c r="D655" s="298"/>
      <c r="E655" s="155"/>
      <c r="F655" s="155"/>
      <c r="G655" s="155"/>
      <c r="H655" s="156"/>
    </row>
    <row r="656" spans="1:8" s="23" customFormat="1" ht="15">
      <c r="A656" s="195"/>
      <c r="B656" s="233" t="s">
        <v>231</v>
      </c>
      <c r="C656" s="83" t="s">
        <v>2</v>
      </c>
      <c r="D656" s="73">
        <v>2520</v>
      </c>
      <c r="E656" s="30">
        <v>70</v>
      </c>
      <c r="F656" s="31">
        <f>D656*70%</f>
        <v>1764</v>
      </c>
      <c r="G656" s="53"/>
      <c r="H656" s="39" t="s">
        <v>53</v>
      </c>
    </row>
    <row r="657" spans="1:8" s="23" customFormat="1" ht="15">
      <c r="A657" s="195"/>
      <c r="B657" s="248" t="s">
        <v>58</v>
      </c>
      <c r="C657" s="83" t="s">
        <v>2</v>
      </c>
      <c r="D657" s="73">
        <v>500</v>
      </c>
      <c r="E657" s="30">
        <v>20</v>
      </c>
      <c r="F657" s="31">
        <f>D657*20%</f>
        <v>100</v>
      </c>
      <c r="G657" s="157"/>
      <c r="H657" s="33" t="s">
        <v>436</v>
      </c>
    </row>
    <row r="658" spans="1:8" s="23" customFormat="1" ht="15">
      <c r="A658" s="195"/>
      <c r="B658" s="248" t="s">
        <v>205</v>
      </c>
      <c r="C658" s="83" t="s">
        <v>2</v>
      </c>
      <c r="D658" s="73">
        <v>500</v>
      </c>
      <c r="E658" s="30">
        <v>20</v>
      </c>
      <c r="F658" s="31">
        <f>D658*20%</f>
        <v>100</v>
      </c>
      <c r="G658" s="157"/>
      <c r="H658" s="33" t="s">
        <v>436</v>
      </c>
    </row>
    <row r="659" spans="1:8" s="23" customFormat="1" ht="15.75" thickBot="1">
      <c r="A659" s="195"/>
      <c r="B659" s="231" t="s">
        <v>229</v>
      </c>
      <c r="C659" s="75" t="s">
        <v>2</v>
      </c>
      <c r="D659" s="293">
        <v>400</v>
      </c>
      <c r="E659" s="30">
        <v>90</v>
      </c>
      <c r="F659" s="35">
        <f>ROUND((D659*E659%),0)</f>
        <v>360</v>
      </c>
      <c r="G659" s="30"/>
      <c r="H659" s="39" t="s">
        <v>199</v>
      </c>
    </row>
    <row r="660" spans="1:8" s="23" customFormat="1" ht="15.75" thickBot="1">
      <c r="A660" s="167" t="s">
        <v>16</v>
      </c>
      <c r="B660" s="264" t="s">
        <v>444</v>
      </c>
      <c r="C660" s="217"/>
      <c r="D660" s="298"/>
      <c r="E660" s="155"/>
      <c r="F660" s="155"/>
      <c r="G660" s="155"/>
      <c r="H660" s="156"/>
    </row>
    <row r="661" spans="1:8" s="23" customFormat="1" ht="15">
      <c r="A661" s="195"/>
      <c r="B661" s="233" t="s">
        <v>231</v>
      </c>
      <c r="C661" s="83" t="s">
        <v>2</v>
      </c>
      <c r="D661" s="73">
        <v>2000</v>
      </c>
      <c r="E661" s="30">
        <v>70</v>
      </c>
      <c r="F661" s="31">
        <f>D661*70%</f>
        <v>1400</v>
      </c>
      <c r="G661" s="53"/>
      <c r="H661" s="39" t="s">
        <v>53</v>
      </c>
    </row>
    <row r="662" spans="1:8" s="23" customFormat="1" ht="15">
      <c r="A662" s="195"/>
      <c r="B662" s="248" t="s">
        <v>58</v>
      </c>
      <c r="C662" s="83" t="s">
        <v>2</v>
      </c>
      <c r="D662" s="73">
        <v>500</v>
      </c>
      <c r="E662" s="30">
        <v>20</v>
      </c>
      <c r="F662" s="31">
        <f>D662*20%</f>
        <v>100</v>
      </c>
      <c r="G662" s="157"/>
      <c r="H662" s="33" t="s">
        <v>436</v>
      </c>
    </row>
    <row r="663" spans="1:8" s="23" customFormat="1" ht="15">
      <c r="A663" s="195"/>
      <c r="B663" s="248" t="s">
        <v>205</v>
      </c>
      <c r="C663" s="83" t="s">
        <v>2</v>
      </c>
      <c r="D663" s="73">
        <v>500</v>
      </c>
      <c r="E663" s="30">
        <v>20</v>
      </c>
      <c r="F663" s="31">
        <f>D663*20%</f>
        <v>100</v>
      </c>
      <c r="G663" s="157"/>
      <c r="H663" s="33" t="s">
        <v>436</v>
      </c>
    </row>
    <row r="664" spans="1:8" s="23" customFormat="1" ht="15.75" thickBot="1">
      <c r="A664" s="195"/>
      <c r="B664" s="231" t="s">
        <v>229</v>
      </c>
      <c r="C664" s="75" t="s">
        <v>2</v>
      </c>
      <c r="D664" s="293">
        <v>400</v>
      </c>
      <c r="E664" s="30">
        <v>90</v>
      </c>
      <c r="F664" s="35">
        <f>ROUND((D664*E664%),0)</f>
        <v>360</v>
      </c>
      <c r="G664" s="30"/>
      <c r="H664" s="39" t="s">
        <v>199</v>
      </c>
    </row>
    <row r="665" spans="1:8" s="23" customFormat="1" ht="15.75" thickBot="1">
      <c r="A665" s="167" t="s">
        <v>17</v>
      </c>
      <c r="B665" s="264" t="s">
        <v>445</v>
      </c>
      <c r="C665" s="217"/>
      <c r="D665" s="298"/>
      <c r="E665" s="155"/>
      <c r="F665" s="155"/>
      <c r="G665" s="155"/>
      <c r="H665" s="156"/>
    </row>
    <row r="666" spans="1:8" s="23" customFormat="1" ht="15">
      <c r="A666" s="195"/>
      <c r="B666" s="233" t="s">
        <v>231</v>
      </c>
      <c r="C666" s="83" t="s">
        <v>2</v>
      </c>
      <c r="D666" s="73">
        <v>2000</v>
      </c>
      <c r="E666" s="30">
        <v>70</v>
      </c>
      <c r="F666" s="31">
        <f>D666*70%</f>
        <v>1400</v>
      </c>
      <c r="G666" s="53"/>
      <c r="H666" s="39" t="s">
        <v>53</v>
      </c>
    </row>
    <row r="667" spans="1:8" s="23" customFormat="1" ht="15">
      <c r="A667" s="195"/>
      <c r="B667" s="248" t="s">
        <v>58</v>
      </c>
      <c r="C667" s="83" t="s">
        <v>2</v>
      </c>
      <c r="D667" s="73">
        <v>500</v>
      </c>
      <c r="E667" s="30">
        <v>20</v>
      </c>
      <c r="F667" s="31">
        <f>D667*20%</f>
        <v>100</v>
      </c>
      <c r="G667" s="157"/>
      <c r="H667" s="33" t="s">
        <v>436</v>
      </c>
    </row>
    <row r="668" spans="1:8" s="23" customFormat="1" ht="15">
      <c r="A668" s="195"/>
      <c r="B668" s="248" t="s">
        <v>205</v>
      </c>
      <c r="C668" s="83" t="s">
        <v>2</v>
      </c>
      <c r="D668" s="73">
        <v>500</v>
      </c>
      <c r="E668" s="30">
        <v>20</v>
      </c>
      <c r="F668" s="31">
        <f>D668*20%</f>
        <v>100</v>
      </c>
      <c r="G668" s="157"/>
      <c r="H668" s="33" t="s">
        <v>436</v>
      </c>
    </row>
    <row r="669" spans="1:8" s="23" customFormat="1" ht="15.75" thickBot="1">
      <c r="A669" s="195"/>
      <c r="B669" s="231" t="s">
        <v>229</v>
      </c>
      <c r="C669" s="75" t="s">
        <v>2</v>
      </c>
      <c r="D669" s="293">
        <v>400</v>
      </c>
      <c r="E669" s="30">
        <v>90</v>
      </c>
      <c r="F669" s="35">
        <f>ROUND((D669*E669%),0)</f>
        <v>360</v>
      </c>
      <c r="G669" s="30"/>
      <c r="H669" s="39" t="s">
        <v>199</v>
      </c>
    </row>
    <row r="670" spans="1:8" s="23" customFormat="1" ht="15.75" thickBot="1">
      <c r="A670" s="167" t="s">
        <v>18</v>
      </c>
      <c r="B670" s="264" t="s">
        <v>446</v>
      </c>
      <c r="C670" s="217"/>
      <c r="D670" s="298"/>
      <c r="E670" s="155"/>
      <c r="F670" s="155"/>
      <c r="G670" s="155"/>
      <c r="H670" s="156"/>
    </row>
    <row r="671" spans="1:8" s="23" customFormat="1" ht="15">
      <c r="A671" s="195"/>
      <c r="B671" s="233" t="s">
        <v>231</v>
      </c>
      <c r="C671" s="83" t="s">
        <v>2</v>
      </c>
      <c r="D671" s="73">
        <v>520</v>
      </c>
      <c r="E671" s="30">
        <v>70</v>
      </c>
      <c r="F671" s="31">
        <f>D671*70%</f>
        <v>364</v>
      </c>
      <c r="G671" s="53"/>
      <c r="H671" s="39" t="s">
        <v>53</v>
      </c>
    </row>
    <row r="672" spans="1:8" s="23" customFormat="1" ht="15">
      <c r="A672" s="195"/>
      <c r="B672" s="248" t="s">
        <v>58</v>
      </c>
      <c r="C672" s="83" t="s">
        <v>2</v>
      </c>
      <c r="D672" s="73">
        <v>500</v>
      </c>
      <c r="E672" s="30">
        <v>20</v>
      </c>
      <c r="F672" s="31">
        <f>D672*20%</f>
        <v>100</v>
      </c>
      <c r="G672" s="157"/>
      <c r="H672" s="33" t="s">
        <v>436</v>
      </c>
    </row>
    <row r="673" spans="1:8" s="23" customFormat="1" ht="15">
      <c r="A673" s="195"/>
      <c r="B673" s="248" t="s">
        <v>205</v>
      </c>
      <c r="C673" s="83" t="s">
        <v>2</v>
      </c>
      <c r="D673" s="73">
        <v>500</v>
      </c>
      <c r="E673" s="30">
        <v>20</v>
      </c>
      <c r="F673" s="31">
        <f>D673*20%</f>
        <v>100</v>
      </c>
      <c r="G673" s="157"/>
      <c r="H673" s="33" t="s">
        <v>436</v>
      </c>
    </row>
    <row r="674" spans="1:8" s="23" customFormat="1" ht="15.75" thickBot="1">
      <c r="A674" s="195"/>
      <c r="B674" s="231" t="s">
        <v>229</v>
      </c>
      <c r="C674" s="75" t="s">
        <v>2</v>
      </c>
      <c r="D674" s="293">
        <v>300</v>
      </c>
      <c r="E674" s="30">
        <v>90</v>
      </c>
      <c r="F674" s="35">
        <f>ROUND((D674*E674%),0)</f>
        <v>270</v>
      </c>
      <c r="G674" s="30"/>
      <c r="H674" s="39" t="s">
        <v>199</v>
      </c>
    </row>
    <row r="675" spans="1:8" s="23" customFormat="1" ht="15.75" thickBot="1">
      <c r="A675" s="167" t="s">
        <v>19</v>
      </c>
      <c r="B675" s="264" t="s">
        <v>447</v>
      </c>
      <c r="C675" s="217"/>
      <c r="D675" s="298"/>
      <c r="E675" s="155"/>
      <c r="F675" s="155"/>
      <c r="G675" s="155"/>
      <c r="H675" s="156"/>
    </row>
    <row r="676" spans="1:8" s="23" customFormat="1" ht="15">
      <c r="A676" s="195"/>
      <c r="B676" s="233" t="s">
        <v>231</v>
      </c>
      <c r="C676" s="83" t="s">
        <v>2</v>
      </c>
      <c r="D676" s="73">
        <v>2000</v>
      </c>
      <c r="E676" s="30">
        <v>70</v>
      </c>
      <c r="F676" s="31">
        <f>D676*70%</f>
        <v>1400</v>
      </c>
      <c r="G676" s="53"/>
      <c r="H676" s="39" t="s">
        <v>53</v>
      </c>
    </row>
    <row r="677" spans="1:8" s="23" customFormat="1" ht="15">
      <c r="A677" s="195"/>
      <c r="B677" s="248" t="s">
        <v>58</v>
      </c>
      <c r="C677" s="83" t="s">
        <v>2</v>
      </c>
      <c r="D677" s="73">
        <v>500</v>
      </c>
      <c r="E677" s="30">
        <v>20</v>
      </c>
      <c r="F677" s="31">
        <f>D677*20%</f>
        <v>100</v>
      </c>
      <c r="G677" s="157"/>
      <c r="H677" s="33" t="s">
        <v>436</v>
      </c>
    </row>
    <row r="678" spans="1:8" s="23" customFormat="1" ht="15">
      <c r="A678" s="195"/>
      <c r="B678" s="248" t="s">
        <v>205</v>
      </c>
      <c r="C678" s="83" t="s">
        <v>2</v>
      </c>
      <c r="D678" s="73">
        <v>500</v>
      </c>
      <c r="E678" s="30">
        <v>20</v>
      </c>
      <c r="F678" s="31">
        <f>D678*20%</f>
        <v>100</v>
      </c>
      <c r="G678" s="157"/>
      <c r="H678" s="33" t="s">
        <v>436</v>
      </c>
    </row>
    <row r="679" spans="1:8" s="23" customFormat="1" ht="15.75" thickBot="1">
      <c r="A679" s="195"/>
      <c r="B679" s="231" t="s">
        <v>229</v>
      </c>
      <c r="C679" s="75" t="s">
        <v>2</v>
      </c>
      <c r="D679" s="293">
        <v>400</v>
      </c>
      <c r="E679" s="30">
        <v>90</v>
      </c>
      <c r="F679" s="35">
        <f>ROUND((D679*E679%),0)</f>
        <v>360</v>
      </c>
      <c r="G679" s="30"/>
      <c r="H679" s="39" t="s">
        <v>199</v>
      </c>
    </row>
    <row r="680" spans="1:8" s="23" customFormat="1" ht="15.75" thickBot="1">
      <c r="A680" s="167" t="s">
        <v>20</v>
      </c>
      <c r="B680" s="264" t="s">
        <v>428</v>
      </c>
      <c r="C680" s="217"/>
      <c r="D680" s="298"/>
      <c r="E680" s="155"/>
      <c r="F680" s="155"/>
      <c r="G680" s="155"/>
      <c r="H680" s="156"/>
    </row>
    <row r="681" spans="1:8" s="23" customFormat="1" ht="15">
      <c r="A681" s="195"/>
      <c r="B681" s="231" t="s">
        <v>301</v>
      </c>
      <c r="C681" s="75" t="s">
        <v>2</v>
      </c>
      <c r="D681" s="73">
        <f>264+250</f>
        <v>514</v>
      </c>
      <c r="E681" s="157">
        <v>80</v>
      </c>
      <c r="F681" s="158">
        <f>ROUND((D681*E681%),0)</f>
        <v>411</v>
      </c>
      <c r="G681" s="157"/>
      <c r="H681" s="159" t="s">
        <v>418</v>
      </c>
    </row>
    <row r="682" spans="1:8" s="23" customFormat="1" ht="15" customHeight="1" thickBot="1">
      <c r="A682" s="195"/>
      <c r="B682" s="231" t="s">
        <v>229</v>
      </c>
      <c r="C682" s="75" t="s">
        <v>2</v>
      </c>
      <c r="D682" s="293">
        <f>264+250</f>
        <v>514</v>
      </c>
      <c r="E682" s="30">
        <v>90</v>
      </c>
      <c r="F682" s="35">
        <f>ROUND((D682*E682%),0)</f>
        <v>463</v>
      </c>
      <c r="G682" s="30"/>
      <c r="H682" s="39" t="s">
        <v>199</v>
      </c>
    </row>
    <row r="683" spans="1:8" s="23" customFormat="1" ht="15.75" thickBot="1">
      <c r="A683" s="167" t="s">
        <v>21</v>
      </c>
      <c r="B683" s="264" t="s">
        <v>419</v>
      </c>
      <c r="C683" s="217"/>
      <c r="D683" s="298"/>
      <c r="E683" s="155"/>
      <c r="F683" s="155"/>
      <c r="G683" s="155"/>
      <c r="H683" s="156"/>
    </row>
    <row r="684" spans="1:8" s="23" customFormat="1" ht="15.75" thickBot="1">
      <c r="A684" s="216"/>
      <c r="B684" s="265" t="s">
        <v>229</v>
      </c>
      <c r="C684" s="217" t="s">
        <v>2</v>
      </c>
      <c r="D684" s="300">
        <v>26626</v>
      </c>
      <c r="E684" s="30">
        <v>90</v>
      </c>
      <c r="F684" s="35">
        <f>ROUND((D684*E684%),0)</f>
        <v>23963</v>
      </c>
      <c r="G684" s="155"/>
      <c r="H684" s="161" t="s">
        <v>199</v>
      </c>
    </row>
    <row r="685" spans="1:8" s="23" customFormat="1" ht="15.75" thickBot="1">
      <c r="A685" s="355" t="s">
        <v>420</v>
      </c>
      <c r="B685" s="356"/>
      <c r="C685" s="356"/>
      <c r="D685" s="356"/>
      <c r="E685" s="356"/>
      <c r="F685" s="356"/>
      <c r="G685" s="356"/>
      <c r="H685" s="357"/>
    </row>
    <row r="686" spans="1:8" s="23" customFormat="1" ht="15.75" thickBot="1">
      <c r="A686" s="167" t="s">
        <v>0</v>
      </c>
      <c r="B686" s="264" t="s">
        <v>433</v>
      </c>
      <c r="C686" s="217"/>
      <c r="D686" s="298"/>
      <c r="E686" s="155"/>
      <c r="F686" s="155"/>
      <c r="G686" s="155"/>
      <c r="H686" s="156"/>
    </row>
    <row r="687" spans="1:8" s="23" customFormat="1" ht="15">
      <c r="A687" s="195"/>
      <c r="B687" s="233" t="s">
        <v>231</v>
      </c>
      <c r="C687" s="83" t="s">
        <v>2</v>
      </c>
      <c r="D687" s="73">
        <v>5820</v>
      </c>
      <c r="E687" s="30">
        <v>70</v>
      </c>
      <c r="F687" s="31">
        <f>D687*70%</f>
        <v>4073.9999999999995</v>
      </c>
      <c r="G687" s="53"/>
      <c r="H687" s="39" t="s">
        <v>53</v>
      </c>
    </row>
    <row r="688" spans="1:8" s="23" customFormat="1" ht="15">
      <c r="A688" s="195"/>
      <c r="B688" s="248" t="s">
        <v>58</v>
      </c>
      <c r="C688" s="83" t="s">
        <v>2</v>
      </c>
      <c r="D688" s="73">
        <v>500</v>
      </c>
      <c r="E688" s="30">
        <v>20</v>
      </c>
      <c r="F688" s="31">
        <f>D688*20%</f>
        <v>100</v>
      </c>
      <c r="G688" s="157"/>
      <c r="H688" s="33" t="s">
        <v>436</v>
      </c>
    </row>
    <row r="689" spans="1:8" s="23" customFormat="1" ht="15">
      <c r="A689" s="195"/>
      <c r="B689" s="248" t="s">
        <v>205</v>
      </c>
      <c r="C689" s="83" t="s">
        <v>2</v>
      </c>
      <c r="D689" s="73">
        <v>500</v>
      </c>
      <c r="E689" s="30">
        <v>20</v>
      </c>
      <c r="F689" s="31">
        <f>D689*20%</f>
        <v>100</v>
      </c>
      <c r="G689" s="157"/>
      <c r="H689" s="33" t="s">
        <v>436</v>
      </c>
    </row>
    <row r="690" spans="1:8" s="23" customFormat="1" ht="15.75" thickBot="1">
      <c r="A690" s="195"/>
      <c r="B690" s="231" t="s">
        <v>229</v>
      </c>
      <c r="C690" s="75" t="s">
        <v>2</v>
      </c>
      <c r="D690" s="293">
        <v>400</v>
      </c>
      <c r="E690" s="30">
        <v>90</v>
      </c>
      <c r="F690" s="35">
        <f>ROUND((D690*E690%),0)</f>
        <v>360</v>
      </c>
      <c r="G690" s="30"/>
      <c r="H690" s="39" t="s">
        <v>199</v>
      </c>
    </row>
    <row r="691" spans="1:8" s="23" customFormat="1" ht="15.75" thickBot="1">
      <c r="A691" s="167" t="s">
        <v>3</v>
      </c>
      <c r="B691" s="264" t="s">
        <v>448</v>
      </c>
      <c r="C691" s="217"/>
      <c r="D691" s="298"/>
      <c r="E691" s="155"/>
      <c r="F691" s="155"/>
      <c r="G691" s="155"/>
      <c r="H691" s="156"/>
    </row>
    <row r="692" spans="1:8" s="23" customFormat="1" ht="15">
      <c r="A692" s="195"/>
      <c r="B692" s="233" t="s">
        <v>231</v>
      </c>
      <c r="C692" s="83" t="s">
        <v>2</v>
      </c>
      <c r="D692" s="73">
        <v>6600</v>
      </c>
      <c r="E692" s="30">
        <v>70</v>
      </c>
      <c r="F692" s="31">
        <f>D692*70%</f>
        <v>4620</v>
      </c>
      <c r="G692" s="53"/>
      <c r="H692" s="39" t="s">
        <v>53</v>
      </c>
    </row>
    <row r="693" spans="1:8" s="23" customFormat="1" ht="15">
      <c r="A693" s="195"/>
      <c r="B693" s="248" t="s">
        <v>58</v>
      </c>
      <c r="C693" s="83" t="s">
        <v>2</v>
      </c>
      <c r="D693" s="73">
        <v>500</v>
      </c>
      <c r="E693" s="30">
        <v>20</v>
      </c>
      <c r="F693" s="31">
        <f>D693*20%</f>
        <v>100</v>
      </c>
      <c r="G693" s="157"/>
      <c r="H693" s="33" t="s">
        <v>436</v>
      </c>
    </row>
    <row r="694" spans="1:8" s="23" customFormat="1" ht="15">
      <c r="A694" s="195"/>
      <c r="B694" s="248" t="s">
        <v>205</v>
      </c>
      <c r="C694" s="83" t="s">
        <v>2</v>
      </c>
      <c r="D694" s="73">
        <v>500</v>
      </c>
      <c r="E694" s="30">
        <v>20</v>
      </c>
      <c r="F694" s="31">
        <f>D694*20%</f>
        <v>100</v>
      </c>
      <c r="G694" s="157"/>
      <c r="H694" s="33" t="s">
        <v>436</v>
      </c>
    </row>
    <row r="695" spans="1:8" s="23" customFormat="1" ht="15.75" thickBot="1">
      <c r="A695" s="195"/>
      <c r="B695" s="231" t="s">
        <v>229</v>
      </c>
      <c r="C695" s="75" t="s">
        <v>2</v>
      </c>
      <c r="D695" s="293">
        <v>400</v>
      </c>
      <c r="E695" s="30">
        <v>90</v>
      </c>
      <c r="F695" s="35">
        <f>ROUND((D695*E695%),0)</f>
        <v>360</v>
      </c>
      <c r="G695" s="30"/>
      <c r="H695" s="39" t="s">
        <v>199</v>
      </c>
    </row>
    <row r="696" spans="1:8" s="23" customFormat="1" ht="15.75" thickBot="1">
      <c r="A696" s="167" t="s">
        <v>8</v>
      </c>
      <c r="B696" s="264" t="s">
        <v>421</v>
      </c>
      <c r="C696" s="217"/>
      <c r="D696" s="298"/>
      <c r="E696" s="155"/>
      <c r="F696" s="155"/>
      <c r="G696" s="155"/>
      <c r="H696" s="156"/>
    </row>
    <row r="697" spans="1:8" s="23" customFormat="1" ht="15">
      <c r="A697" s="195"/>
      <c r="B697" s="239" t="s">
        <v>226</v>
      </c>
      <c r="C697" s="83" t="s">
        <v>2</v>
      </c>
      <c r="D697" s="297">
        <v>36</v>
      </c>
      <c r="E697" s="43">
        <v>90</v>
      </c>
      <c r="F697" s="65">
        <f>ROUND((D697*E697%),0)</f>
        <v>32</v>
      </c>
      <c r="G697" s="64"/>
      <c r="H697" s="47" t="s">
        <v>53</v>
      </c>
    </row>
    <row r="698" spans="1:8" s="23" customFormat="1" ht="15">
      <c r="A698" s="187"/>
      <c r="B698" s="176" t="s">
        <v>221</v>
      </c>
      <c r="C698" s="83" t="s">
        <v>2</v>
      </c>
      <c r="D698" s="293">
        <v>36</v>
      </c>
      <c r="E698" s="30">
        <v>90</v>
      </c>
      <c r="F698" s="35">
        <f>ROUND((D698*E698%),0)</f>
        <v>32</v>
      </c>
      <c r="G698" s="43"/>
      <c r="H698" s="40" t="s">
        <v>55</v>
      </c>
    </row>
    <row r="699" spans="1:8" s="164" customFormat="1" ht="15.75" thickBot="1">
      <c r="A699" s="188"/>
      <c r="B699" s="237" t="s">
        <v>222</v>
      </c>
      <c r="C699" s="197" t="s">
        <v>2</v>
      </c>
      <c r="D699" s="278">
        <v>36</v>
      </c>
      <c r="E699" s="162">
        <v>90</v>
      </c>
      <c r="F699" s="163">
        <f>ROUND((D699*E699%),0)</f>
        <v>32</v>
      </c>
      <c r="G699" s="162"/>
      <c r="H699" s="118" t="s">
        <v>54</v>
      </c>
    </row>
    <row r="700" spans="1:8" s="23" customFormat="1" ht="15.75" thickBot="1">
      <c r="A700" s="167" t="s">
        <v>9</v>
      </c>
      <c r="B700" s="264" t="s">
        <v>429</v>
      </c>
      <c r="C700" s="217"/>
      <c r="D700" s="298"/>
      <c r="E700" s="155"/>
      <c r="F700" s="155"/>
      <c r="G700" s="155"/>
      <c r="H700" s="156"/>
    </row>
    <row r="701" spans="1:8" s="23" customFormat="1" ht="15">
      <c r="A701" s="195"/>
      <c r="B701" s="231" t="s">
        <v>422</v>
      </c>
      <c r="C701" s="75" t="s">
        <v>2</v>
      </c>
      <c r="D701" s="293">
        <f>D702+D703</f>
        <v>900</v>
      </c>
      <c r="E701" s="157">
        <v>90</v>
      </c>
      <c r="F701" s="158">
        <f>ROUND((D701*E701%),0)</f>
        <v>810</v>
      </c>
      <c r="G701" s="157"/>
      <c r="H701" s="159" t="s">
        <v>418</v>
      </c>
    </row>
    <row r="702" spans="1:8" s="23" customFormat="1" ht="15">
      <c r="A702" s="195"/>
      <c r="B702" s="231" t="s">
        <v>423</v>
      </c>
      <c r="C702" s="75" t="s">
        <v>2</v>
      </c>
      <c r="D702" s="293">
        <v>768</v>
      </c>
      <c r="E702" s="30">
        <v>90</v>
      </c>
      <c r="F702" s="35">
        <f>ROUND((D702*E702%),0)</f>
        <v>691</v>
      </c>
      <c r="G702" s="30"/>
      <c r="H702" s="39" t="s">
        <v>55</v>
      </c>
    </row>
    <row r="703" spans="1:8" s="23" customFormat="1" ht="15">
      <c r="A703" s="195"/>
      <c r="B703" s="231" t="s">
        <v>403</v>
      </c>
      <c r="C703" s="75" t="s">
        <v>2</v>
      </c>
      <c r="D703" s="293">
        <v>132</v>
      </c>
      <c r="E703" s="30">
        <v>90</v>
      </c>
      <c r="F703" s="35">
        <f>ROUND((D703*E703%),0)</f>
        <v>119</v>
      </c>
      <c r="G703" s="30"/>
      <c r="H703" s="39" t="s">
        <v>55</v>
      </c>
    </row>
    <row r="704" spans="1:8" s="23" customFormat="1" ht="17.25" customHeight="1" thickBot="1">
      <c r="A704" s="196"/>
      <c r="B704" s="232" t="s">
        <v>229</v>
      </c>
      <c r="C704" s="197" t="s">
        <v>2</v>
      </c>
      <c r="D704" s="278">
        <v>231</v>
      </c>
      <c r="E704" s="55">
        <v>90</v>
      </c>
      <c r="F704" s="154">
        <f>ROUND((D704*E704%),0)</f>
        <v>208</v>
      </c>
      <c r="G704" s="55"/>
      <c r="H704" s="58" t="s">
        <v>199</v>
      </c>
    </row>
    <row r="705" spans="1:8" s="23" customFormat="1" ht="17.25" customHeight="1" thickBot="1">
      <c r="A705" s="167" t="s">
        <v>10</v>
      </c>
      <c r="B705" s="264" t="s">
        <v>468</v>
      </c>
      <c r="C705" s="217"/>
      <c r="D705" s="298"/>
      <c r="E705" s="155"/>
      <c r="F705" s="155"/>
      <c r="G705" s="155"/>
      <c r="H705" s="156"/>
    </row>
    <row r="706" spans="1:8" s="23" customFormat="1" ht="17.25" customHeight="1">
      <c r="A706" s="195"/>
      <c r="B706" s="233" t="s">
        <v>231</v>
      </c>
      <c r="C706" s="83" t="s">
        <v>2</v>
      </c>
      <c r="D706" s="73">
        <v>1920</v>
      </c>
      <c r="E706" s="30">
        <v>70</v>
      </c>
      <c r="F706" s="31">
        <f>D706*70%</f>
        <v>1344</v>
      </c>
      <c r="G706" s="53"/>
      <c r="H706" s="39" t="s">
        <v>53</v>
      </c>
    </row>
    <row r="707" spans="1:8" s="23" customFormat="1" ht="17.25" customHeight="1">
      <c r="A707" s="195"/>
      <c r="B707" s="248" t="s">
        <v>58</v>
      </c>
      <c r="C707" s="83" t="s">
        <v>2</v>
      </c>
      <c r="D707" s="73">
        <v>500</v>
      </c>
      <c r="E707" s="30">
        <v>20</v>
      </c>
      <c r="F707" s="31">
        <f>D707*20%</f>
        <v>100</v>
      </c>
      <c r="G707" s="157"/>
      <c r="H707" s="33" t="s">
        <v>436</v>
      </c>
    </row>
    <row r="708" spans="1:8" s="23" customFormat="1" ht="17.25" customHeight="1">
      <c r="A708" s="195"/>
      <c r="B708" s="248" t="s">
        <v>205</v>
      </c>
      <c r="C708" s="83" t="s">
        <v>2</v>
      </c>
      <c r="D708" s="73">
        <v>500</v>
      </c>
      <c r="E708" s="30">
        <v>20</v>
      </c>
      <c r="F708" s="31">
        <f>D708*20%</f>
        <v>100</v>
      </c>
      <c r="G708" s="157"/>
      <c r="H708" s="33" t="s">
        <v>436</v>
      </c>
    </row>
    <row r="709" spans="1:8" s="23" customFormat="1" ht="17.25" customHeight="1" thickBot="1">
      <c r="A709" s="196"/>
      <c r="B709" s="232" t="s">
        <v>229</v>
      </c>
      <c r="C709" s="197" t="s">
        <v>2</v>
      </c>
      <c r="D709" s="278">
        <v>400</v>
      </c>
      <c r="E709" s="55">
        <v>90</v>
      </c>
      <c r="F709" s="154">
        <f>ROUND((D709*E709%),0)</f>
        <v>360</v>
      </c>
      <c r="G709" s="55"/>
      <c r="H709" s="58" t="s">
        <v>199</v>
      </c>
    </row>
    <row r="710" spans="1:8" s="23" customFormat="1" ht="17.25" customHeight="1" thickBot="1">
      <c r="A710" s="167" t="s">
        <v>12</v>
      </c>
      <c r="B710" s="264" t="s">
        <v>434</v>
      </c>
      <c r="C710" s="217"/>
      <c r="D710" s="298"/>
      <c r="E710" s="155"/>
      <c r="F710" s="155"/>
      <c r="G710" s="155"/>
      <c r="H710" s="156"/>
    </row>
    <row r="711" spans="1:8" s="23" customFormat="1" ht="17.25" customHeight="1">
      <c r="A711" s="195"/>
      <c r="B711" s="233" t="s">
        <v>231</v>
      </c>
      <c r="C711" s="83" t="s">
        <v>2</v>
      </c>
      <c r="D711" s="73">
        <v>3200</v>
      </c>
      <c r="E711" s="30">
        <v>70</v>
      </c>
      <c r="F711" s="31">
        <f>D711*70%</f>
        <v>2240</v>
      </c>
      <c r="G711" s="53"/>
      <c r="H711" s="39" t="s">
        <v>53</v>
      </c>
    </row>
    <row r="712" spans="1:8" s="23" customFormat="1" ht="17.25" customHeight="1">
      <c r="A712" s="195"/>
      <c r="B712" s="248" t="s">
        <v>58</v>
      </c>
      <c r="C712" s="83" t="s">
        <v>2</v>
      </c>
      <c r="D712" s="73">
        <v>500</v>
      </c>
      <c r="E712" s="30">
        <v>20</v>
      </c>
      <c r="F712" s="31">
        <f>D712*20%</f>
        <v>100</v>
      </c>
      <c r="G712" s="157"/>
      <c r="H712" s="33" t="s">
        <v>436</v>
      </c>
    </row>
    <row r="713" spans="1:8" s="23" customFormat="1" ht="17.25" customHeight="1">
      <c r="A713" s="195"/>
      <c r="B713" s="248" t="s">
        <v>205</v>
      </c>
      <c r="C713" s="83" t="s">
        <v>2</v>
      </c>
      <c r="D713" s="73">
        <v>500</v>
      </c>
      <c r="E713" s="30">
        <v>20</v>
      </c>
      <c r="F713" s="31">
        <f>D713*20%</f>
        <v>100</v>
      </c>
      <c r="G713" s="157"/>
      <c r="H713" s="33" t="s">
        <v>436</v>
      </c>
    </row>
    <row r="714" spans="1:8" s="23" customFormat="1" ht="17.25" customHeight="1" thickBot="1">
      <c r="A714" s="196"/>
      <c r="B714" s="232" t="s">
        <v>229</v>
      </c>
      <c r="C714" s="197" t="s">
        <v>2</v>
      </c>
      <c r="D714" s="278">
        <v>400</v>
      </c>
      <c r="E714" s="55">
        <v>90</v>
      </c>
      <c r="F714" s="154">
        <f>ROUND((D714*E714%),0)</f>
        <v>360</v>
      </c>
      <c r="G714" s="55"/>
      <c r="H714" s="58" t="s">
        <v>199</v>
      </c>
    </row>
    <row r="715" spans="1:8" s="23" customFormat="1" ht="17.25" customHeight="1" thickBot="1">
      <c r="A715" s="167" t="s">
        <v>13</v>
      </c>
      <c r="B715" s="264" t="s">
        <v>440</v>
      </c>
      <c r="C715" s="217"/>
      <c r="D715" s="298"/>
      <c r="E715" s="155"/>
      <c r="F715" s="155"/>
      <c r="G715" s="155"/>
      <c r="H715" s="156"/>
    </row>
    <row r="716" spans="1:8" s="23" customFormat="1" ht="17.25" customHeight="1">
      <c r="A716" s="195"/>
      <c r="B716" s="233" t="s">
        <v>231</v>
      </c>
      <c r="C716" s="83" t="s">
        <v>2</v>
      </c>
      <c r="D716" s="73">
        <v>2000</v>
      </c>
      <c r="E716" s="30">
        <v>70</v>
      </c>
      <c r="F716" s="31">
        <f>D716*70%</f>
        <v>1400</v>
      </c>
      <c r="G716" s="53"/>
      <c r="H716" s="39" t="s">
        <v>53</v>
      </c>
    </row>
    <row r="717" spans="1:8" s="23" customFormat="1" ht="17.25" customHeight="1">
      <c r="A717" s="195"/>
      <c r="B717" s="248" t="s">
        <v>58</v>
      </c>
      <c r="C717" s="83" t="s">
        <v>2</v>
      </c>
      <c r="D717" s="73">
        <v>500</v>
      </c>
      <c r="E717" s="30">
        <v>20</v>
      </c>
      <c r="F717" s="31">
        <f>D717*20%</f>
        <v>100</v>
      </c>
      <c r="G717" s="157"/>
      <c r="H717" s="33" t="s">
        <v>436</v>
      </c>
    </row>
    <row r="718" spans="1:8" s="23" customFormat="1" ht="17.25" customHeight="1">
      <c r="A718" s="195"/>
      <c r="B718" s="248" t="s">
        <v>205</v>
      </c>
      <c r="C718" s="83" t="s">
        <v>2</v>
      </c>
      <c r="D718" s="73">
        <v>500</v>
      </c>
      <c r="E718" s="30">
        <v>20</v>
      </c>
      <c r="F718" s="31">
        <f>D718*20%</f>
        <v>100</v>
      </c>
      <c r="G718" s="157"/>
      <c r="H718" s="33" t="s">
        <v>436</v>
      </c>
    </row>
    <row r="719" spans="1:8" s="23" customFormat="1" ht="17.25" customHeight="1" thickBot="1">
      <c r="A719" s="196"/>
      <c r="B719" s="232" t="s">
        <v>229</v>
      </c>
      <c r="C719" s="197" t="s">
        <v>2</v>
      </c>
      <c r="D719" s="278">
        <v>400</v>
      </c>
      <c r="E719" s="55">
        <v>90</v>
      </c>
      <c r="F719" s="154">
        <f>ROUND((D719*E719%),0)</f>
        <v>360</v>
      </c>
      <c r="G719" s="55"/>
      <c r="H719" s="58" t="s">
        <v>199</v>
      </c>
    </row>
    <row r="720" spans="1:8" s="23" customFormat="1" ht="17.25" customHeight="1" thickBot="1">
      <c r="A720" s="167" t="s">
        <v>14</v>
      </c>
      <c r="B720" s="264" t="s">
        <v>469</v>
      </c>
      <c r="C720" s="217"/>
      <c r="D720" s="298"/>
      <c r="E720" s="155"/>
      <c r="F720" s="155"/>
      <c r="G720" s="155"/>
      <c r="H720" s="156"/>
    </row>
    <row r="721" spans="1:8" s="23" customFormat="1" ht="17.25" customHeight="1">
      <c r="A721" s="195"/>
      <c r="B721" s="233" t="s">
        <v>231</v>
      </c>
      <c r="C721" s="83" t="s">
        <v>2</v>
      </c>
      <c r="D721" s="73">
        <v>5520</v>
      </c>
      <c r="E721" s="30">
        <v>70</v>
      </c>
      <c r="F721" s="31">
        <f>D721*70%</f>
        <v>3863.9999999999995</v>
      </c>
      <c r="G721" s="53"/>
      <c r="H721" s="39" t="s">
        <v>53</v>
      </c>
    </row>
    <row r="722" spans="1:8" s="23" customFormat="1" ht="17.25" customHeight="1">
      <c r="A722" s="195"/>
      <c r="B722" s="248" t="s">
        <v>58</v>
      </c>
      <c r="C722" s="83" t="s">
        <v>2</v>
      </c>
      <c r="D722" s="73">
        <v>500</v>
      </c>
      <c r="E722" s="30">
        <v>20</v>
      </c>
      <c r="F722" s="31">
        <f>D722*20%</f>
        <v>100</v>
      </c>
      <c r="G722" s="157"/>
      <c r="H722" s="33" t="s">
        <v>436</v>
      </c>
    </row>
    <row r="723" spans="1:8" s="23" customFormat="1" ht="17.25" customHeight="1">
      <c r="A723" s="195"/>
      <c r="B723" s="248" t="s">
        <v>205</v>
      </c>
      <c r="C723" s="83" t="s">
        <v>2</v>
      </c>
      <c r="D723" s="73">
        <v>500</v>
      </c>
      <c r="E723" s="30">
        <v>20</v>
      </c>
      <c r="F723" s="31">
        <f>D723*20%</f>
        <v>100</v>
      </c>
      <c r="G723" s="157"/>
      <c r="H723" s="33" t="s">
        <v>436</v>
      </c>
    </row>
    <row r="724" spans="1:8" s="23" customFormat="1" ht="17.25" customHeight="1" thickBot="1">
      <c r="A724" s="196"/>
      <c r="B724" s="232" t="s">
        <v>229</v>
      </c>
      <c r="C724" s="197" t="s">
        <v>2</v>
      </c>
      <c r="D724" s="278">
        <v>400</v>
      </c>
      <c r="E724" s="55">
        <v>90</v>
      </c>
      <c r="F724" s="154">
        <f>ROUND((D724*E724%),0)</f>
        <v>360</v>
      </c>
      <c r="G724" s="55"/>
      <c r="H724" s="58" t="s">
        <v>199</v>
      </c>
    </row>
    <row r="725" spans="1:8" s="23" customFormat="1" ht="17.25" customHeight="1" thickBot="1">
      <c r="A725" s="167" t="s">
        <v>15</v>
      </c>
      <c r="B725" s="264" t="s">
        <v>470</v>
      </c>
      <c r="C725" s="217"/>
      <c r="D725" s="298"/>
      <c r="E725" s="155"/>
      <c r="F725" s="155"/>
      <c r="G725" s="155"/>
      <c r="H725" s="156"/>
    </row>
    <row r="726" spans="1:8" s="23" customFormat="1" ht="17.25" customHeight="1">
      <c r="A726" s="195"/>
      <c r="B726" s="233" t="s">
        <v>231</v>
      </c>
      <c r="C726" s="83" t="s">
        <v>2</v>
      </c>
      <c r="D726" s="73">
        <v>2520</v>
      </c>
      <c r="E726" s="30">
        <v>70</v>
      </c>
      <c r="F726" s="31">
        <f>D726*70%</f>
        <v>1764</v>
      </c>
      <c r="G726" s="53"/>
      <c r="H726" s="39" t="s">
        <v>53</v>
      </c>
    </row>
    <row r="727" spans="1:8" s="23" customFormat="1" ht="17.25" customHeight="1">
      <c r="A727" s="195"/>
      <c r="B727" s="248" t="s">
        <v>58</v>
      </c>
      <c r="C727" s="83" t="s">
        <v>2</v>
      </c>
      <c r="D727" s="73">
        <v>500</v>
      </c>
      <c r="E727" s="30">
        <v>20</v>
      </c>
      <c r="F727" s="31">
        <f>D727*20%</f>
        <v>100</v>
      </c>
      <c r="G727" s="157"/>
      <c r="H727" s="33" t="s">
        <v>436</v>
      </c>
    </row>
    <row r="728" spans="1:8" s="23" customFormat="1" ht="17.25" customHeight="1">
      <c r="A728" s="195"/>
      <c r="B728" s="248" t="s">
        <v>205</v>
      </c>
      <c r="C728" s="83" t="s">
        <v>2</v>
      </c>
      <c r="D728" s="73">
        <v>500</v>
      </c>
      <c r="E728" s="30">
        <v>20</v>
      </c>
      <c r="F728" s="31">
        <f>D728*20%</f>
        <v>100</v>
      </c>
      <c r="G728" s="157"/>
      <c r="H728" s="33" t="s">
        <v>436</v>
      </c>
    </row>
    <row r="729" spans="1:8" s="23" customFormat="1" ht="17.25" customHeight="1" thickBot="1">
      <c r="A729" s="196"/>
      <c r="B729" s="232" t="s">
        <v>229</v>
      </c>
      <c r="C729" s="197" t="s">
        <v>2</v>
      </c>
      <c r="D729" s="278">
        <v>400</v>
      </c>
      <c r="E729" s="55">
        <v>90</v>
      </c>
      <c r="F729" s="154">
        <f>ROUND((D729*E729%),0)</f>
        <v>360</v>
      </c>
      <c r="G729" s="55"/>
      <c r="H729" s="58" t="s">
        <v>199</v>
      </c>
    </row>
    <row r="730" spans="1:8" s="23" customFormat="1" ht="17.25" customHeight="1" thickBot="1">
      <c r="A730" s="167" t="s">
        <v>16</v>
      </c>
      <c r="B730" s="264" t="s">
        <v>471</v>
      </c>
      <c r="C730" s="217"/>
      <c r="D730" s="298"/>
      <c r="E730" s="155"/>
      <c r="F730" s="155"/>
      <c r="G730" s="155"/>
      <c r="H730" s="156"/>
    </row>
    <row r="731" spans="1:8" s="23" customFormat="1" ht="17.25" customHeight="1">
      <c r="A731" s="195"/>
      <c r="B731" s="233" t="s">
        <v>231</v>
      </c>
      <c r="C731" s="83" t="s">
        <v>2</v>
      </c>
      <c r="D731" s="73">
        <v>1440</v>
      </c>
      <c r="E731" s="30">
        <v>70</v>
      </c>
      <c r="F731" s="31">
        <f>D731*70%</f>
        <v>1007.9999999999999</v>
      </c>
      <c r="G731" s="53"/>
      <c r="H731" s="39" t="s">
        <v>53</v>
      </c>
    </row>
    <row r="732" spans="1:8" s="23" customFormat="1" ht="17.25" customHeight="1">
      <c r="A732" s="195"/>
      <c r="B732" s="248" t="s">
        <v>58</v>
      </c>
      <c r="C732" s="83" t="s">
        <v>2</v>
      </c>
      <c r="D732" s="73">
        <v>500</v>
      </c>
      <c r="E732" s="30">
        <v>20</v>
      </c>
      <c r="F732" s="31">
        <f>D732*20%</f>
        <v>100</v>
      </c>
      <c r="G732" s="157"/>
      <c r="H732" s="33" t="s">
        <v>436</v>
      </c>
    </row>
    <row r="733" spans="1:8" s="23" customFormat="1" ht="17.25" customHeight="1">
      <c r="A733" s="195"/>
      <c r="B733" s="248" t="s">
        <v>205</v>
      </c>
      <c r="C733" s="83" t="s">
        <v>2</v>
      </c>
      <c r="D733" s="73">
        <v>500</v>
      </c>
      <c r="E733" s="30">
        <v>20</v>
      </c>
      <c r="F733" s="31">
        <f>D733*20%</f>
        <v>100</v>
      </c>
      <c r="G733" s="157"/>
      <c r="H733" s="33" t="s">
        <v>436</v>
      </c>
    </row>
    <row r="734" spans="1:8" s="23" customFormat="1" ht="17.25" customHeight="1" thickBot="1">
      <c r="A734" s="196"/>
      <c r="B734" s="232" t="s">
        <v>229</v>
      </c>
      <c r="C734" s="197" t="s">
        <v>2</v>
      </c>
      <c r="D734" s="278">
        <v>400</v>
      </c>
      <c r="E734" s="55">
        <v>90</v>
      </c>
      <c r="F734" s="154">
        <f>ROUND((D734*E734%),0)</f>
        <v>360</v>
      </c>
      <c r="G734" s="55"/>
      <c r="H734" s="58" t="s">
        <v>199</v>
      </c>
    </row>
    <row r="735" spans="1:8" s="23" customFormat="1" ht="17.25" customHeight="1" thickBot="1">
      <c r="A735" s="167" t="s">
        <v>17</v>
      </c>
      <c r="B735" s="264" t="s">
        <v>446</v>
      </c>
      <c r="C735" s="217"/>
      <c r="D735" s="298"/>
      <c r="E735" s="155"/>
      <c r="F735" s="155"/>
      <c r="G735" s="155"/>
      <c r="H735" s="156"/>
    </row>
    <row r="736" spans="1:8" s="23" customFormat="1" ht="17.25" customHeight="1">
      <c r="A736" s="195"/>
      <c r="B736" s="233" t="s">
        <v>231</v>
      </c>
      <c r="C736" s="83" t="s">
        <v>2</v>
      </c>
      <c r="D736" s="73">
        <v>560</v>
      </c>
      <c r="E736" s="30">
        <v>70</v>
      </c>
      <c r="F736" s="31">
        <f>D736*70%</f>
        <v>392</v>
      </c>
      <c r="G736" s="53"/>
      <c r="H736" s="39" t="s">
        <v>53</v>
      </c>
    </row>
    <row r="737" spans="1:8" s="23" customFormat="1" ht="17.25" customHeight="1">
      <c r="A737" s="195"/>
      <c r="B737" s="248" t="s">
        <v>58</v>
      </c>
      <c r="C737" s="83" t="s">
        <v>2</v>
      </c>
      <c r="D737" s="73">
        <v>500</v>
      </c>
      <c r="E737" s="30">
        <v>20</v>
      </c>
      <c r="F737" s="31">
        <f>D737*20%</f>
        <v>100</v>
      </c>
      <c r="G737" s="157"/>
      <c r="H737" s="33" t="s">
        <v>436</v>
      </c>
    </row>
    <row r="738" spans="1:8" s="23" customFormat="1" ht="17.25" customHeight="1">
      <c r="A738" s="195"/>
      <c r="B738" s="248" t="s">
        <v>205</v>
      </c>
      <c r="C738" s="83" t="s">
        <v>2</v>
      </c>
      <c r="D738" s="73">
        <v>500</v>
      </c>
      <c r="E738" s="30">
        <v>20</v>
      </c>
      <c r="F738" s="31">
        <f>D738*20%</f>
        <v>100</v>
      </c>
      <c r="G738" s="157"/>
      <c r="H738" s="33" t="s">
        <v>436</v>
      </c>
    </row>
    <row r="739" spans="1:8" s="23" customFormat="1" ht="17.25" customHeight="1" thickBot="1">
      <c r="A739" s="195"/>
      <c r="B739" s="231" t="s">
        <v>229</v>
      </c>
      <c r="C739" s="75" t="s">
        <v>2</v>
      </c>
      <c r="D739" s="293">
        <v>300</v>
      </c>
      <c r="E739" s="30">
        <v>90</v>
      </c>
      <c r="F739" s="35">
        <f>ROUND((D739*E739%),0)</f>
        <v>270</v>
      </c>
      <c r="G739" s="30"/>
      <c r="H739" s="39" t="s">
        <v>199</v>
      </c>
    </row>
    <row r="740" spans="1:8" s="23" customFormat="1" ht="17.25" customHeight="1" thickBot="1">
      <c r="A740" s="167" t="s">
        <v>18</v>
      </c>
      <c r="B740" s="264" t="s">
        <v>447</v>
      </c>
      <c r="C740" s="217"/>
      <c r="D740" s="298"/>
      <c r="E740" s="155"/>
      <c r="F740" s="155"/>
      <c r="G740" s="155"/>
      <c r="H740" s="156"/>
    </row>
    <row r="741" spans="1:8" s="23" customFormat="1" ht="17.25" customHeight="1">
      <c r="A741" s="195"/>
      <c r="B741" s="233" t="s">
        <v>231</v>
      </c>
      <c r="C741" s="83" t="s">
        <v>2</v>
      </c>
      <c r="D741" s="73">
        <v>640</v>
      </c>
      <c r="E741" s="30">
        <v>70</v>
      </c>
      <c r="F741" s="31">
        <f>D741*70%</f>
        <v>448</v>
      </c>
      <c r="G741" s="53"/>
      <c r="H741" s="39" t="s">
        <v>53</v>
      </c>
    </row>
    <row r="742" spans="1:8" s="23" customFormat="1" ht="17.25" customHeight="1">
      <c r="A742" s="195"/>
      <c r="B742" s="248" t="s">
        <v>58</v>
      </c>
      <c r="C742" s="83" t="s">
        <v>2</v>
      </c>
      <c r="D742" s="73">
        <v>500</v>
      </c>
      <c r="E742" s="30">
        <v>20</v>
      </c>
      <c r="F742" s="31">
        <f>D742*20%</f>
        <v>100</v>
      </c>
      <c r="G742" s="157"/>
      <c r="H742" s="33" t="s">
        <v>436</v>
      </c>
    </row>
    <row r="743" spans="1:8" s="23" customFormat="1" ht="17.25" customHeight="1">
      <c r="A743" s="195"/>
      <c r="B743" s="248" t="s">
        <v>205</v>
      </c>
      <c r="C743" s="83" t="s">
        <v>2</v>
      </c>
      <c r="D743" s="73">
        <v>500</v>
      </c>
      <c r="E743" s="30">
        <v>20</v>
      </c>
      <c r="F743" s="31">
        <f>D743*20%</f>
        <v>100</v>
      </c>
      <c r="G743" s="157"/>
      <c r="H743" s="33" t="s">
        <v>436</v>
      </c>
    </row>
    <row r="744" spans="1:8" s="23" customFormat="1" ht="17.25" customHeight="1" thickBot="1">
      <c r="A744" s="195"/>
      <c r="B744" s="231" t="s">
        <v>229</v>
      </c>
      <c r="C744" s="75" t="s">
        <v>2</v>
      </c>
      <c r="D744" s="293">
        <v>300</v>
      </c>
      <c r="E744" s="30">
        <v>90</v>
      </c>
      <c r="F744" s="35">
        <f>ROUND((D744*E744%),0)</f>
        <v>270</v>
      </c>
      <c r="G744" s="30"/>
      <c r="H744" s="39" t="s">
        <v>199</v>
      </c>
    </row>
    <row r="745" spans="1:8" s="23" customFormat="1" ht="17.25" customHeight="1" thickBot="1">
      <c r="A745" s="167" t="s">
        <v>19</v>
      </c>
      <c r="B745" s="264" t="s">
        <v>472</v>
      </c>
      <c r="C745" s="217"/>
      <c r="D745" s="298"/>
      <c r="E745" s="155"/>
      <c r="F745" s="155"/>
      <c r="G745" s="155"/>
      <c r="H745" s="156"/>
    </row>
    <row r="746" spans="1:8" s="23" customFormat="1" ht="17.25" customHeight="1">
      <c r="A746" s="195"/>
      <c r="B746" s="233" t="s">
        <v>231</v>
      </c>
      <c r="C746" s="83" t="s">
        <v>2</v>
      </c>
      <c r="D746" s="73">
        <v>480</v>
      </c>
      <c r="E746" s="30">
        <v>70</v>
      </c>
      <c r="F746" s="31">
        <f>D746*70%</f>
        <v>336</v>
      </c>
      <c r="G746" s="53"/>
      <c r="H746" s="39" t="s">
        <v>53</v>
      </c>
    </row>
    <row r="747" spans="1:8" s="23" customFormat="1" ht="17.25" customHeight="1">
      <c r="A747" s="195"/>
      <c r="B747" s="248" t="s">
        <v>58</v>
      </c>
      <c r="C747" s="83" t="s">
        <v>2</v>
      </c>
      <c r="D747" s="73">
        <v>400</v>
      </c>
      <c r="E747" s="30">
        <v>20</v>
      </c>
      <c r="F747" s="31">
        <f>D747*20%</f>
        <v>80</v>
      </c>
      <c r="G747" s="157"/>
      <c r="H747" s="33" t="s">
        <v>436</v>
      </c>
    </row>
    <row r="748" spans="1:8" s="23" customFormat="1" ht="17.25" customHeight="1">
      <c r="A748" s="195"/>
      <c r="B748" s="248" t="s">
        <v>205</v>
      </c>
      <c r="C748" s="83" t="s">
        <v>2</v>
      </c>
      <c r="D748" s="73">
        <v>400</v>
      </c>
      <c r="E748" s="30">
        <v>20</v>
      </c>
      <c r="F748" s="31">
        <f>D748*20%</f>
        <v>80</v>
      </c>
      <c r="G748" s="157"/>
      <c r="H748" s="33" t="s">
        <v>436</v>
      </c>
    </row>
    <row r="749" spans="1:8" s="23" customFormat="1" ht="17.25" customHeight="1" thickBot="1">
      <c r="A749" s="195"/>
      <c r="B749" s="231" t="s">
        <v>229</v>
      </c>
      <c r="C749" s="75" t="s">
        <v>2</v>
      </c>
      <c r="D749" s="293">
        <v>200</v>
      </c>
      <c r="E749" s="30">
        <v>90</v>
      </c>
      <c r="F749" s="35">
        <f>ROUND((D749*E749%),0)</f>
        <v>180</v>
      </c>
      <c r="G749" s="30"/>
      <c r="H749" s="39" t="s">
        <v>199</v>
      </c>
    </row>
    <row r="750" spans="1:8" s="23" customFormat="1" ht="17.25" customHeight="1" thickBot="1">
      <c r="A750" s="167" t="s">
        <v>20</v>
      </c>
      <c r="B750" s="264" t="s">
        <v>473</v>
      </c>
      <c r="C750" s="217"/>
      <c r="D750" s="298"/>
      <c r="E750" s="155"/>
      <c r="F750" s="155"/>
      <c r="G750" s="155"/>
      <c r="H750" s="156"/>
    </row>
    <row r="751" spans="1:8" s="23" customFormat="1" ht="17.25" customHeight="1">
      <c r="A751" s="195"/>
      <c r="B751" s="233" t="s">
        <v>231</v>
      </c>
      <c r="C751" s="83" t="s">
        <v>2</v>
      </c>
      <c r="D751" s="73">
        <v>800</v>
      </c>
      <c r="E751" s="30">
        <v>70</v>
      </c>
      <c r="F751" s="31">
        <f>D751*70%</f>
        <v>560</v>
      </c>
      <c r="G751" s="53"/>
      <c r="H751" s="39" t="s">
        <v>53</v>
      </c>
    </row>
    <row r="752" spans="1:8" s="23" customFormat="1" ht="17.25" customHeight="1">
      <c r="A752" s="195"/>
      <c r="B752" s="248" t="s">
        <v>58</v>
      </c>
      <c r="C752" s="83" t="s">
        <v>2</v>
      </c>
      <c r="D752" s="73">
        <v>400</v>
      </c>
      <c r="E752" s="30">
        <v>20</v>
      </c>
      <c r="F752" s="31">
        <f>D752*20%</f>
        <v>80</v>
      </c>
      <c r="G752" s="157"/>
      <c r="H752" s="33" t="s">
        <v>436</v>
      </c>
    </row>
    <row r="753" spans="1:8" s="23" customFormat="1" ht="17.25" customHeight="1">
      <c r="A753" s="195"/>
      <c r="B753" s="248" t="s">
        <v>205</v>
      </c>
      <c r="C753" s="83" t="s">
        <v>2</v>
      </c>
      <c r="D753" s="73">
        <v>400</v>
      </c>
      <c r="E753" s="30">
        <v>20</v>
      </c>
      <c r="F753" s="31">
        <f>D753*20%</f>
        <v>80</v>
      </c>
      <c r="G753" s="157"/>
      <c r="H753" s="33" t="s">
        <v>436</v>
      </c>
    </row>
    <row r="754" spans="1:8" s="23" customFormat="1" ht="17.25" customHeight="1" thickBot="1">
      <c r="A754" s="195"/>
      <c r="B754" s="231" t="s">
        <v>229</v>
      </c>
      <c r="C754" s="75" t="s">
        <v>2</v>
      </c>
      <c r="D754" s="293">
        <v>200</v>
      </c>
      <c r="E754" s="30">
        <v>90</v>
      </c>
      <c r="F754" s="35">
        <f>ROUND((D754*E754%),0)</f>
        <v>180</v>
      </c>
      <c r="G754" s="30"/>
      <c r="H754" s="39" t="s">
        <v>199</v>
      </c>
    </row>
    <row r="755" spans="1:8" s="23" customFormat="1" ht="17.25" customHeight="1" thickBot="1">
      <c r="A755" s="167" t="s">
        <v>21</v>
      </c>
      <c r="B755" s="264" t="s">
        <v>474</v>
      </c>
      <c r="C755" s="217"/>
      <c r="D755" s="298"/>
      <c r="E755" s="155"/>
      <c r="F755" s="155"/>
      <c r="G755" s="155"/>
      <c r="H755" s="156"/>
    </row>
    <row r="756" spans="1:8" s="23" customFormat="1" ht="17.25" customHeight="1">
      <c r="A756" s="195"/>
      <c r="B756" s="233" t="s">
        <v>231</v>
      </c>
      <c r="C756" s="83" t="s">
        <v>2</v>
      </c>
      <c r="D756" s="73">
        <v>880</v>
      </c>
      <c r="E756" s="30">
        <v>70</v>
      </c>
      <c r="F756" s="31">
        <f>D756*70%</f>
        <v>616</v>
      </c>
      <c r="G756" s="53"/>
      <c r="H756" s="39" t="s">
        <v>53</v>
      </c>
    </row>
    <row r="757" spans="1:8" s="23" customFormat="1" ht="17.25" customHeight="1">
      <c r="A757" s="195"/>
      <c r="B757" s="248" t="s">
        <v>58</v>
      </c>
      <c r="C757" s="83" t="s">
        <v>2</v>
      </c>
      <c r="D757" s="73">
        <v>400</v>
      </c>
      <c r="E757" s="30">
        <v>20</v>
      </c>
      <c r="F757" s="31">
        <f>D757*20%</f>
        <v>80</v>
      </c>
      <c r="G757" s="157"/>
      <c r="H757" s="33" t="s">
        <v>436</v>
      </c>
    </row>
    <row r="758" spans="1:8" s="23" customFormat="1" ht="17.25" customHeight="1">
      <c r="A758" s="195"/>
      <c r="B758" s="248" t="s">
        <v>205</v>
      </c>
      <c r="C758" s="83" t="s">
        <v>2</v>
      </c>
      <c r="D758" s="73">
        <v>400</v>
      </c>
      <c r="E758" s="30">
        <v>20</v>
      </c>
      <c r="F758" s="31">
        <f>D758*20%</f>
        <v>80</v>
      </c>
      <c r="G758" s="157"/>
      <c r="H758" s="33" t="s">
        <v>436</v>
      </c>
    </row>
    <row r="759" spans="1:8" s="23" customFormat="1" ht="17.25" customHeight="1" thickBot="1">
      <c r="A759" s="195"/>
      <c r="B759" s="231" t="s">
        <v>229</v>
      </c>
      <c r="C759" s="75" t="s">
        <v>2</v>
      </c>
      <c r="D759" s="293">
        <v>200</v>
      </c>
      <c r="E759" s="30">
        <v>90</v>
      </c>
      <c r="F759" s="35">
        <f>ROUND((D759*E759%),0)</f>
        <v>180</v>
      </c>
      <c r="G759" s="30"/>
      <c r="H759" s="39" t="s">
        <v>199</v>
      </c>
    </row>
    <row r="760" spans="1:8" s="23" customFormat="1" ht="19.5" customHeight="1" thickBot="1">
      <c r="A760" s="167" t="s">
        <v>22</v>
      </c>
      <c r="B760" s="264" t="s">
        <v>430</v>
      </c>
      <c r="C760" s="217"/>
      <c r="D760" s="298"/>
      <c r="E760" s="155"/>
      <c r="F760" s="155"/>
      <c r="G760" s="155"/>
      <c r="H760" s="156"/>
    </row>
    <row r="761" spans="1:8" s="160" customFormat="1" ht="17.25" customHeight="1">
      <c r="A761" s="195"/>
      <c r="B761" s="231" t="s">
        <v>301</v>
      </c>
      <c r="C761" s="75" t="s">
        <v>2</v>
      </c>
      <c r="D761" s="73">
        <v>180</v>
      </c>
      <c r="E761" s="157">
        <v>90</v>
      </c>
      <c r="F761" s="158">
        <f>ROUND((D761*E761%),0)</f>
        <v>162</v>
      </c>
      <c r="G761" s="157"/>
      <c r="H761" s="159" t="s">
        <v>418</v>
      </c>
    </row>
    <row r="762" spans="1:8" s="23" customFormat="1" ht="18" customHeight="1">
      <c r="A762" s="195"/>
      <c r="B762" s="231" t="s">
        <v>403</v>
      </c>
      <c r="C762" s="75" t="s">
        <v>2</v>
      </c>
      <c r="D762" s="73">
        <v>40.32</v>
      </c>
      <c r="E762" s="30">
        <v>90</v>
      </c>
      <c r="F762" s="35">
        <f>ROUND((D762*E762%),0)</f>
        <v>36</v>
      </c>
      <c r="G762" s="30"/>
      <c r="H762" s="159" t="s">
        <v>418</v>
      </c>
    </row>
    <row r="763" spans="1:8" s="23" customFormat="1" ht="15.75" customHeight="1" thickBot="1">
      <c r="A763" s="195"/>
      <c r="B763" s="231" t="s">
        <v>229</v>
      </c>
      <c r="C763" s="75" t="s">
        <v>2</v>
      </c>
      <c r="D763" s="293">
        <v>450</v>
      </c>
      <c r="E763" s="30">
        <v>70</v>
      </c>
      <c r="F763" s="35">
        <f>ROUND((D763*E763%),0)</f>
        <v>315</v>
      </c>
      <c r="G763" s="30"/>
      <c r="H763" s="39" t="s">
        <v>199</v>
      </c>
    </row>
    <row r="764" spans="1:8" s="23" customFormat="1" ht="18.75" customHeight="1" thickBot="1">
      <c r="A764" s="167" t="s">
        <v>197</v>
      </c>
      <c r="B764" s="264" t="s">
        <v>424</v>
      </c>
      <c r="C764" s="217"/>
      <c r="D764" s="298"/>
      <c r="E764" s="155"/>
      <c r="F764" s="155"/>
      <c r="G764" s="155"/>
      <c r="H764" s="156"/>
    </row>
    <row r="765" spans="1:8" s="23" customFormat="1" ht="16.5" customHeight="1" thickBot="1">
      <c r="A765" s="216"/>
      <c r="B765" s="265" t="s">
        <v>229</v>
      </c>
      <c r="C765" s="217" t="s">
        <v>2</v>
      </c>
      <c r="D765" s="300">
        <v>9000</v>
      </c>
      <c r="E765" s="155">
        <v>90</v>
      </c>
      <c r="F765" s="333">
        <f>ROUND((D765*E765%),0)</f>
        <v>8100</v>
      </c>
      <c r="G765" s="155"/>
      <c r="H765" s="161" t="s">
        <v>199</v>
      </c>
    </row>
    <row r="766" spans="1:4" s="16" customFormat="1" ht="12.75">
      <c r="A766" s="219"/>
      <c r="B766" s="266"/>
      <c r="C766" s="219"/>
      <c r="D766" s="302"/>
    </row>
    <row r="767" spans="1:4" s="114" customFormat="1" ht="15">
      <c r="A767" s="331"/>
      <c r="B767" s="332" t="s">
        <v>37</v>
      </c>
      <c r="C767" s="206"/>
      <c r="D767" s="301"/>
    </row>
    <row r="768" spans="1:8" s="114" customFormat="1" ht="15" hidden="1">
      <c r="A768" s="206"/>
      <c r="B768" s="341" t="s">
        <v>427</v>
      </c>
      <c r="C768" s="342"/>
      <c r="D768" s="342"/>
      <c r="E768" s="342"/>
      <c r="F768" s="342"/>
      <c r="G768" s="342"/>
      <c r="H768" s="342"/>
    </row>
    <row r="769" spans="1:8" s="114" customFormat="1" ht="15">
      <c r="A769" s="206"/>
      <c r="B769" s="342"/>
      <c r="C769" s="342"/>
      <c r="D769" s="342"/>
      <c r="E769" s="342"/>
      <c r="F769" s="342"/>
      <c r="G769" s="342"/>
      <c r="H769" s="342"/>
    </row>
    <row r="770" spans="1:4" s="114" customFormat="1" ht="15">
      <c r="A770" s="206"/>
      <c r="B770" s="252" t="s">
        <v>280</v>
      </c>
      <c r="C770" s="206"/>
      <c r="D770" s="301"/>
    </row>
    <row r="771" spans="1:8" s="114" customFormat="1" ht="15">
      <c r="A771" s="206"/>
      <c r="B771" s="341" t="s">
        <v>426</v>
      </c>
      <c r="C771" s="342"/>
      <c r="D771" s="342"/>
      <c r="E771" s="342"/>
      <c r="F771" s="342"/>
      <c r="G771" s="342"/>
      <c r="H771" s="342"/>
    </row>
    <row r="772" spans="1:8" s="114" customFormat="1" ht="15">
      <c r="A772" s="206"/>
      <c r="B772" s="342"/>
      <c r="C772" s="342"/>
      <c r="D772" s="342"/>
      <c r="E772" s="342"/>
      <c r="F772" s="342"/>
      <c r="G772" s="342"/>
      <c r="H772" s="342"/>
    </row>
    <row r="773" spans="1:4" s="16" customFormat="1" ht="12.75">
      <c r="A773" s="219"/>
      <c r="B773" s="266"/>
      <c r="C773" s="219"/>
      <c r="D773" s="302"/>
    </row>
    <row r="774" spans="1:4" s="16" customFormat="1" ht="12.75">
      <c r="A774" s="219"/>
      <c r="B774" s="266"/>
      <c r="C774" s="219"/>
      <c r="D774" s="302"/>
    </row>
    <row r="775" spans="1:8" s="16" customFormat="1" ht="15">
      <c r="A775" s="219"/>
      <c r="B775" s="341" t="s">
        <v>475</v>
      </c>
      <c r="C775" s="341"/>
      <c r="D775" s="341"/>
      <c r="E775" s="341"/>
      <c r="F775" s="341"/>
      <c r="G775" s="341"/>
      <c r="H775" s="341"/>
    </row>
    <row r="776" spans="1:4" s="16" customFormat="1" ht="12.75">
      <c r="A776" s="219"/>
      <c r="B776" s="266"/>
      <c r="C776" s="219"/>
      <c r="D776" s="302"/>
    </row>
    <row r="777" spans="1:4" s="16" customFormat="1" ht="12.75">
      <c r="A777" s="219"/>
      <c r="B777" s="266"/>
      <c r="C777" s="219"/>
      <c r="D777" s="302"/>
    </row>
    <row r="778" spans="1:4" s="16" customFormat="1" ht="12.75">
      <c r="A778" s="219"/>
      <c r="B778" s="267" t="s">
        <v>435</v>
      </c>
      <c r="C778" s="219"/>
      <c r="D778" s="302"/>
    </row>
    <row r="779" spans="1:4" s="16" customFormat="1" ht="12.75">
      <c r="A779" s="219"/>
      <c r="B779" s="267" t="s">
        <v>425</v>
      </c>
      <c r="C779" s="219"/>
      <c r="D779" s="302"/>
    </row>
    <row r="780" spans="1:4" s="16" customFormat="1" ht="12.75">
      <c r="A780" s="219"/>
      <c r="B780" s="266"/>
      <c r="C780" s="219"/>
      <c r="D780" s="302"/>
    </row>
  </sheetData>
  <sheetProtection/>
  <autoFilter ref="A12:H765"/>
  <mergeCells count="48">
    <mergeCell ref="A611:A614"/>
    <mergeCell ref="A6:H6"/>
    <mergeCell ref="A8:H8"/>
    <mergeCell ref="A10:A11"/>
    <mergeCell ref="B10:B11"/>
    <mergeCell ref="C10:C11"/>
    <mergeCell ref="D10:D11"/>
    <mergeCell ref="E10:F10"/>
    <mergeCell ref="G10:G11"/>
    <mergeCell ref="H10:H11"/>
    <mergeCell ref="H106:H107"/>
    <mergeCell ref="H53:H54"/>
    <mergeCell ref="H85:H86"/>
    <mergeCell ref="D184:E184"/>
    <mergeCell ref="A7:H7"/>
    <mergeCell ref="H26:H27"/>
    <mergeCell ref="D231:E231"/>
    <mergeCell ref="D202:E202"/>
    <mergeCell ref="H207:H208"/>
    <mergeCell ref="D221:E221"/>
    <mergeCell ref="H166:H167"/>
    <mergeCell ref="H129:H130"/>
    <mergeCell ref="D331:E331"/>
    <mergeCell ref="D335:E335"/>
    <mergeCell ref="H464:H465"/>
    <mergeCell ref="H482:H483"/>
    <mergeCell ref="D309:E309"/>
    <mergeCell ref="D317:E317"/>
    <mergeCell ref="D323:E323"/>
    <mergeCell ref="D327:E327"/>
    <mergeCell ref="H476:H478"/>
    <mergeCell ref="H479:H481"/>
    <mergeCell ref="H363:H364"/>
    <mergeCell ref="H376:H377"/>
    <mergeCell ref="H391:H392"/>
    <mergeCell ref="H410:H411"/>
    <mergeCell ref="H428:H429"/>
    <mergeCell ref="H446:H447"/>
    <mergeCell ref="B771:H772"/>
    <mergeCell ref="B768:H769"/>
    <mergeCell ref="B775:H775"/>
    <mergeCell ref="H497:H499"/>
    <mergeCell ref="H504:H507"/>
    <mergeCell ref="A536:H536"/>
    <mergeCell ref="A600:H600"/>
    <mergeCell ref="A609:H609"/>
    <mergeCell ref="A685:H685"/>
    <mergeCell ref="H511:H512"/>
  </mergeCells>
  <printOptions/>
  <pageMargins left="0.32" right="0.1968503937007874" top="0.5905511811023623" bottom="0.1968503937007874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2"/>
  <sheetViews>
    <sheetView zoomScale="75" zoomScaleNormal="75" zoomScalePageLayoutView="0" workbookViewId="0" topLeftCell="A1">
      <selection activeCell="R50" sqref="R50"/>
    </sheetView>
  </sheetViews>
  <sheetFormatPr defaultColWidth="9.00390625" defaultRowHeight="12.75"/>
  <cols>
    <col min="1" max="1" width="26.50390625" style="0" customWidth="1"/>
    <col min="2" max="2" width="5.50390625" style="0" customWidth="1"/>
    <col min="3" max="4" width="6.625" style="0" customWidth="1"/>
    <col min="5" max="5" width="8.625" style="0" customWidth="1"/>
    <col min="6" max="6" width="6.625" style="0" customWidth="1"/>
    <col min="7" max="7" width="9.625" style="0" customWidth="1"/>
    <col min="8" max="8" width="8.375" style="0" customWidth="1"/>
    <col min="9" max="9" width="9.625" style="0" customWidth="1"/>
    <col min="10" max="10" width="9.50390625" style="0" customWidth="1"/>
    <col min="11" max="11" width="9.00390625" style="0" customWidth="1"/>
    <col min="12" max="12" width="9.625" style="0" customWidth="1"/>
    <col min="13" max="13" width="9.375" style="0" customWidth="1"/>
    <col min="14" max="17" width="6.625" style="0" customWidth="1"/>
  </cols>
  <sheetData>
    <row r="2" spans="1:17" s="9" customFormat="1" ht="48" customHeight="1">
      <c r="A2" s="10" t="s">
        <v>76</v>
      </c>
      <c r="B2" s="8" t="s">
        <v>75</v>
      </c>
      <c r="C2" s="18" t="s">
        <v>77</v>
      </c>
      <c r="D2" s="18" t="s">
        <v>78</v>
      </c>
      <c r="E2" s="18" t="s">
        <v>79</v>
      </c>
      <c r="F2" s="18" t="s">
        <v>80</v>
      </c>
      <c r="G2" s="18" t="s">
        <v>81</v>
      </c>
      <c r="H2" s="18" t="s">
        <v>82</v>
      </c>
      <c r="I2" s="18" t="s">
        <v>83</v>
      </c>
      <c r="J2" s="18" t="s">
        <v>84</v>
      </c>
      <c r="K2" s="18" t="s">
        <v>85</v>
      </c>
      <c r="L2" s="18" t="s">
        <v>86</v>
      </c>
      <c r="M2" s="18" t="s">
        <v>87</v>
      </c>
      <c r="N2" s="18" t="s">
        <v>88</v>
      </c>
      <c r="O2" s="18" t="s">
        <v>89</v>
      </c>
      <c r="P2" s="8" t="s">
        <v>90</v>
      </c>
      <c r="Q2" s="8" t="s">
        <v>91</v>
      </c>
    </row>
    <row r="3" spans="1:18" ht="12.75">
      <c r="A3" s="4" t="s">
        <v>206</v>
      </c>
      <c r="B3" s="7" t="s">
        <v>1</v>
      </c>
      <c r="C3" s="7">
        <v>2745</v>
      </c>
      <c r="D3" s="7">
        <v>724</v>
      </c>
      <c r="E3" s="7">
        <v>500</v>
      </c>
      <c r="F3" s="7"/>
      <c r="G3" s="7">
        <v>1446.3</v>
      </c>
      <c r="H3" s="7">
        <v>1910</v>
      </c>
      <c r="I3" s="17">
        <v>722</v>
      </c>
      <c r="J3" s="7">
        <v>461</v>
      </c>
      <c r="K3" s="7">
        <v>610</v>
      </c>
      <c r="L3" s="7">
        <v>697.5</v>
      </c>
      <c r="M3" s="7">
        <v>761.8</v>
      </c>
      <c r="N3" s="7">
        <v>990</v>
      </c>
      <c r="O3" s="7">
        <v>420</v>
      </c>
      <c r="P3" s="7">
        <v>636.7</v>
      </c>
      <c r="Q3" s="7"/>
      <c r="R3">
        <f>SUM(C3:Q3)</f>
        <v>12624.3</v>
      </c>
    </row>
    <row r="4" spans="1:18" ht="12.75">
      <c r="A4" s="4" t="s">
        <v>207</v>
      </c>
      <c r="B4" s="7" t="s">
        <v>2</v>
      </c>
      <c r="C4" s="7">
        <v>823</v>
      </c>
      <c r="D4" s="7">
        <v>217</v>
      </c>
      <c r="E4" s="7"/>
      <c r="F4" s="7"/>
      <c r="G4" s="7">
        <v>2314</v>
      </c>
      <c r="H4" s="7">
        <v>1146</v>
      </c>
      <c r="I4" s="7">
        <v>433</v>
      </c>
      <c r="J4" s="7">
        <v>277</v>
      </c>
      <c r="K4" s="7">
        <v>732</v>
      </c>
      <c r="L4" s="7">
        <v>837</v>
      </c>
      <c r="M4" s="7">
        <v>457</v>
      </c>
      <c r="N4" s="7">
        <v>594</v>
      </c>
      <c r="O4" s="7">
        <v>252</v>
      </c>
      <c r="P4" s="7"/>
      <c r="Q4" s="7"/>
      <c r="R4">
        <f aca="true" t="shared" si="0" ref="R4:R20">SUM(C4:Q4)</f>
        <v>8082</v>
      </c>
    </row>
    <row r="5" spans="1:18" ht="12.75" customHeight="1">
      <c r="A5" s="6" t="s">
        <v>92</v>
      </c>
      <c r="B5" s="7" t="s">
        <v>2</v>
      </c>
      <c r="C5" s="7">
        <f>45350-1360</f>
        <v>43990</v>
      </c>
      <c r="D5" s="7">
        <v>6076.1</v>
      </c>
      <c r="E5" s="12">
        <v>10950.9</v>
      </c>
      <c r="F5" s="7">
        <v>3798</v>
      </c>
      <c r="G5" s="12">
        <f>27413.8-2374</f>
        <v>25039.8</v>
      </c>
      <c r="H5" s="12">
        <f>21027.2-1377</f>
        <v>19650.2</v>
      </c>
      <c r="I5" s="12">
        <f>13365.4-247.86</f>
        <v>13117.539999999999</v>
      </c>
      <c r="J5" s="7">
        <f>5305.8-463</f>
        <v>4842.8</v>
      </c>
      <c r="K5" s="12">
        <f>10512.6-376</f>
        <v>10136.6</v>
      </c>
      <c r="L5" s="12">
        <f>12193.4-1186</f>
        <v>11007.4</v>
      </c>
      <c r="M5" s="7">
        <f>6332.1-582</f>
        <v>5750.1</v>
      </c>
      <c r="N5" s="7">
        <f>9930.1-95</f>
        <v>9835.1</v>
      </c>
      <c r="O5" s="7">
        <f>3934.1-364</f>
        <v>3570.1</v>
      </c>
      <c r="P5" s="7">
        <v>4950</v>
      </c>
      <c r="Q5" s="7"/>
      <c r="R5">
        <f t="shared" si="0"/>
        <v>172714.64</v>
      </c>
    </row>
    <row r="6" spans="1:18" ht="12.75" customHeight="1">
      <c r="A6" s="6" t="s">
        <v>104</v>
      </c>
      <c r="B6" s="7" t="s">
        <v>2</v>
      </c>
      <c r="C6" s="7"/>
      <c r="D6" s="7"/>
      <c r="E6" s="12"/>
      <c r="F6" s="7"/>
      <c r="G6" s="14">
        <v>3524</v>
      </c>
      <c r="H6" s="7">
        <v>219</v>
      </c>
      <c r="I6" s="7">
        <v>540.9</v>
      </c>
      <c r="J6" s="7"/>
      <c r="K6" s="7">
        <v>238</v>
      </c>
      <c r="L6" s="7"/>
      <c r="M6" s="7">
        <v>104</v>
      </c>
      <c r="N6" s="7"/>
      <c r="O6" s="7"/>
      <c r="P6" s="7"/>
      <c r="Q6" s="7"/>
      <c r="R6">
        <f t="shared" si="0"/>
        <v>4625.9</v>
      </c>
    </row>
    <row r="7" spans="1:18" ht="12.75" customHeight="1">
      <c r="A7" s="6" t="s">
        <v>101</v>
      </c>
      <c r="B7" s="7" t="s">
        <v>2</v>
      </c>
      <c r="C7" s="7"/>
      <c r="D7" s="7">
        <v>1267.3</v>
      </c>
      <c r="E7" s="7"/>
      <c r="F7" s="7"/>
      <c r="G7" s="7">
        <v>1298.3</v>
      </c>
      <c r="H7" s="7"/>
      <c r="I7" s="7">
        <v>150.4</v>
      </c>
      <c r="J7" s="7"/>
      <c r="K7" s="7"/>
      <c r="L7" s="7"/>
      <c r="M7" s="7"/>
      <c r="N7" s="7">
        <v>481.5</v>
      </c>
      <c r="O7" s="7">
        <v>323.21</v>
      </c>
      <c r="P7" s="7"/>
      <c r="Q7" s="7"/>
      <c r="R7">
        <f t="shared" si="0"/>
        <v>3520.71</v>
      </c>
    </row>
    <row r="8" spans="1:18" ht="12.75">
      <c r="A8" s="4" t="s">
        <v>93</v>
      </c>
      <c r="B8" s="7" t="s">
        <v>2</v>
      </c>
      <c r="C8" s="7">
        <v>1360</v>
      </c>
      <c r="D8" s="7"/>
      <c r="E8" s="7"/>
      <c r="F8" s="7"/>
      <c r="G8" s="7">
        <v>2374</v>
      </c>
      <c r="H8" s="7">
        <v>1377</v>
      </c>
      <c r="I8" s="7">
        <v>247.86</v>
      </c>
      <c r="J8" s="7">
        <v>463</v>
      </c>
      <c r="K8" s="7">
        <v>376</v>
      </c>
      <c r="L8" s="7">
        <v>1186</v>
      </c>
      <c r="M8" s="7">
        <v>582</v>
      </c>
      <c r="N8" s="7">
        <v>95</v>
      </c>
      <c r="O8" s="7">
        <v>364</v>
      </c>
      <c r="P8" s="7"/>
      <c r="Q8" s="7"/>
      <c r="R8">
        <f t="shared" si="0"/>
        <v>8424.86</v>
      </c>
    </row>
    <row r="9" spans="1:18" ht="12.75">
      <c r="A9" s="4" t="s">
        <v>102</v>
      </c>
      <c r="B9" s="7" t="s">
        <v>2</v>
      </c>
      <c r="C9" s="7"/>
      <c r="D9" s="7"/>
      <c r="E9" s="7"/>
      <c r="F9" s="7"/>
      <c r="G9" s="7">
        <v>1520.8</v>
      </c>
      <c r="H9" s="7">
        <v>11</v>
      </c>
      <c r="I9" s="7"/>
      <c r="J9" s="7"/>
      <c r="K9" s="7"/>
      <c r="L9" s="7"/>
      <c r="M9" s="7"/>
      <c r="N9" s="7"/>
      <c r="O9" s="7"/>
      <c r="P9" s="7"/>
      <c r="Q9" s="7"/>
      <c r="R9">
        <f t="shared" si="0"/>
        <v>1531.8</v>
      </c>
    </row>
    <row r="10" spans="1:18" ht="12.75">
      <c r="A10" s="4" t="s">
        <v>106</v>
      </c>
      <c r="B10" s="7" t="s">
        <v>2</v>
      </c>
      <c r="C10" s="7"/>
      <c r="D10" s="7"/>
      <c r="E10" s="7"/>
      <c r="F10" s="7"/>
      <c r="G10" s="7"/>
      <c r="H10" s="7"/>
      <c r="I10" s="17">
        <v>3602</v>
      </c>
      <c r="J10" s="7"/>
      <c r="K10" s="7"/>
      <c r="L10" s="7"/>
      <c r="M10" s="7"/>
      <c r="N10" s="7"/>
      <c r="O10" s="7"/>
      <c r="P10" s="7"/>
      <c r="Q10" s="7"/>
      <c r="R10">
        <f t="shared" si="0"/>
        <v>3602</v>
      </c>
    </row>
    <row r="11" spans="1:18" ht="12.75">
      <c r="A11" s="4" t="s">
        <v>94</v>
      </c>
      <c r="B11" s="7" t="s">
        <v>2</v>
      </c>
      <c r="C11" s="7">
        <v>7882</v>
      </c>
      <c r="D11" s="7">
        <v>1253.8</v>
      </c>
      <c r="E11" s="7">
        <v>683.8</v>
      </c>
      <c r="F11" s="7"/>
      <c r="G11" s="7">
        <f>22523-3524</f>
        <v>18999</v>
      </c>
      <c r="H11" s="12">
        <f>10280.6-219</f>
        <v>10061.6</v>
      </c>
      <c r="I11" s="7">
        <f>3658.6-540.9</f>
        <v>3117.7</v>
      </c>
      <c r="J11" s="7">
        <v>960.7</v>
      </c>
      <c r="K11" s="7">
        <f>3294.9-238</f>
        <v>3056.9</v>
      </c>
      <c r="L11" s="7">
        <v>9763.6</v>
      </c>
      <c r="M11" s="7">
        <f>5868-104</f>
        <v>5764</v>
      </c>
      <c r="N11" s="7">
        <v>5376.9</v>
      </c>
      <c r="O11" s="7">
        <v>2549.68</v>
      </c>
      <c r="P11" s="7">
        <v>1368</v>
      </c>
      <c r="Q11" s="7">
        <v>99</v>
      </c>
      <c r="R11">
        <f t="shared" si="0"/>
        <v>70936.67999999998</v>
      </c>
    </row>
    <row r="12" spans="1:18" ht="12.75">
      <c r="A12" s="4" t="s">
        <v>97</v>
      </c>
      <c r="B12" s="7" t="s">
        <v>2</v>
      </c>
      <c r="C12" s="7">
        <v>1502.1</v>
      </c>
      <c r="D12" s="7"/>
      <c r="E12" s="7"/>
      <c r="F12" s="7"/>
      <c r="G12" s="13">
        <v>1044.15</v>
      </c>
      <c r="H12" s="7">
        <v>174.65</v>
      </c>
      <c r="I12" s="7"/>
      <c r="J12" s="7"/>
      <c r="K12" s="7"/>
      <c r="L12" s="7"/>
      <c r="M12" s="7"/>
      <c r="N12" s="7"/>
      <c r="O12" s="7"/>
      <c r="P12" s="7"/>
      <c r="Q12" s="7"/>
      <c r="R12">
        <f t="shared" si="0"/>
        <v>2720.9</v>
      </c>
    </row>
    <row r="13" spans="1:19" ht="13.5" customHeight="1">
      <c r="A13" s="6" t="s">
        <v>95</v>
      </c>
      <c r="B13" s="7" t="s">
        <v>2</v>
      </c>
      <c r="C13" s="7">
        <v>36724</v>
      </c>
      <c r="D13" s="7">
        <v>6615</v>
      </c>
      <c r="E13" s="12">
        <v>12642.2</v>
      </c>
      <c r="F13" s="7"/>
      <c r="G13" s="12">
        <v>21340.7</v>
      </c>
      <c r="H13" s="12">
        <v>27483.3</v>
      </c>
      <c r="I13" s="7">
        <v>21193.7</v>
      </c>
      <c r="J13" s="7">
        <v>9161</v>
      </c>
      <c r="K13" s="13">
        <v>7664.43</v>
      </c>
      <c r="L13" s="12">
        <v>76501.1</v>
      </c>
      <c r="M13" s="7">
        <v>6605.5</v>
      </c>
      <c r="N13" s="7">
        <v>7715.5</v>
      </c>
      <c r="O13" s="7">
        <v>1922.3</v>
      </c>
      <c r="P13" s="7">
        <v>12823</v>
      </c>
      <c r="Q13" s="7">
        <v>4613</v>
      </c>
      <c r="R13">
        <f t="shared" si="0"/>
        <v>253004.72999999998</v>
      </c>
      <c r="S13">
        <f>SUM(C13:R13)</f>
        <v>506009.45999999996</v>
      </c>
    </row>
    <row r="14" spans="1:19" ht="13.5" customHeight="1">
      <c r="A14" s="6" t="s">
        <v>98</v>
      </c>
      <c r="B14" s="7" t="s">
        <v>2</v>
      </c>
      <c r="C14" s="7">
        <v>4132.8</v>
      </c>
      <c r="D14" s="7"/>
      <c r="E14" s="7"/>
      <c r="F14" s="7"/>
      <c r="G14" s="13">
        <v>1646.13</v>
      </c>
      <c r="H14" s="7">
        <v>5873.4</v>
      </c>
      <c r="I14" s="7"/>
      <c r="J14" s="7"/>
      <c r="K14" s="7"/>
      <c r="L14" s="7">
        <v>226.5</v>
      </c>
      <c r="M14" s="7"/>
      <c r="N14" s="7"/>
      <c r="O14" s="7">
        <v>7500</v>
      </c>
      <c r="P14" s="7"/>
      <c r="Q14" s="7"/>
      <c r="R14">
        <f t="shared" si="0"/>
        <v>19378.83</v>
      </c>
      <c r="S14">
        <f>SUM(C14:R14)</f>
        <v>38757.66</v>
      </c>
    </row>
    <row r="15" spans="1:18" ht="12.75" customHeight="1">
      <c r="A15" s="11" t="s">
        <v>96</v>
      </c>
      <c r="B15" s="7" t="s">
        <v>2</v>
      </c>
      <c r="C15" s="7">
        <v>1569.8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>
        <f t="shared" si="0"/>
        <v>1569.8</v>
      </c>
    </row>
    <row r="16" spans="1:18" ht="12.75" customHeight="1">
      <c r="A16" s="11" t="s">
        <v>105</v>
      </c>
      <c r="B16" s="7" t="s">
        <v>2</v>
      </c>
      <c r="C16" s="7"/>
      <c r="D16" s="7"/>
      <c r="E16" s="7"/>
      <c r="F16" s="7"/>
      <c r="G16" s="7"/>
      <c r="H16" s="7">
        <v>1043.7</v>
      </c>
      <c r="I16" s="7"/>
      <c r="J16" s="7"/>
      <c r="K16" s="7"/>
      <c r="L16" s="7"/>
      <c r="M16" s="7"/>
      <c r="N16" s="7"/>
      <c r="O16" s="7"/>
      <c r="P16" s="7"/>
      <c r="Q16" s="7"/>
      <c r="R16">
        <f t="shared" si="0"/>
        <v>1043.7</v>
      </c>
    </row>
    <row r="17" spans="1:18" ht="12.75" customHeight="1">
      <c r="A17" s="11" t="s">
        <v>99</v>
      </c>
      <c r="B17" s="7" t="s">
        <v>2</v>
      </c>
      <c r="C17" s="7">
        <v>462</v>
      </c>
      <c r="D17" s="7"/>
      <c r="E17" s="7"/>
      <c r="F17" s="7"/>
      <c r="G17" s="7">
        <v>939</v>
      </c>
      <c r="H17" s="7">
        <v>765</v>
      </c>
      <c r="I17" s="7">
        <v>131</v>
      </c>
      <c r="J17" s="7"/>
      <c r="K17" s="7"/>
      <c r="L17" s="7"/>
      <c r="M17" s="7"/>
      <c r="N17" s="7">
        <v>166</v>
      </c>
      <c r="O17" s="7"/>
      <c r="P17" s="7"/>
      <c r="Q17" s="7"/>
      <c r="R17">
        <f t="shared" si="0"/>
        <v>2463</v>
      </c>
    </row>
    <row r="18" spans="1:18" ht="12.75" customHeight="1">
      <c r="A18" s="11" t="s">
        <v>100</v>
      </c>
      <c r="B18" s="7" t="s">
        <v>2</v>
      </c>
      <c r="C18" s="7">
        <v>55</v>
      </c>
      <c r="D18" s="7"/>
      <c r="E18" s="7"/>
      <c r="F18" s="7"/>
      <c r="G18" s="7">
        <v>2888.4</v>
      </c>
      <c r="H18" s="7">
        <v>1759</v>
      </c>
      <c r="I18" s="7"/>
      <c r="J18" s="7"/>
      <c r="K18" s="7"/>
      <c r="L18" s="7"/>
      <c r="M18" s="7"/>
      <c r="N18" s="7"/>
      <c r="O18" s="7"/>
      <c r="P18" s="7"/>
      <c r="Q18" s="7"/>
      <c r="R18">
        <f t="shared" si="0"/>
        <v>4702.4</v>
      </c>
    </row>
    <row r="19" spans="1:18" ht="12.75" customHeight="1">
      <c r="A19" s="11" t="s">
        <v>232</v>
      </c>
      <c r="B19" s="7" t="s">
        <v>11</v>
      </c>
      <c r="C19" s="7"/>
      <c r="D19" s="7"/>
      <c r="E19" s="7"/>
      <c r="F19" s="7"/>
      <c r="G19" s="7">
        <v>41</v>
      </c>
      <c r="H19" s="7">
        <v>14</v>
      </c>
      <c r="I19" s="7">
        <v>3</v>
      </c>
      <c r="J19" s="7"/>
      <c r="K19" s="7"/>
      <c r="L19" s="7"/>
      <c r="M19" s="7"/>
      <c r="N19" s="7"/>
      <c r="O19" s="7"/>
      <c r="P19" s="7"/>
      <c r="Q19" s="7"/>
      <c r="R19">
        <f t="shared" si="0"/>
        <v>58</v>
      </c>
    </row>
    <row r="20" spans="1:18" ht="12.75">
      <c r="A20" s="5" t="s">
        <v>103</v>
      </c>
      <c r="B20" s="7" t="s">
        <v>11</v>
      </c>
      <c r="C20" s="7">
        <v>2</v>
      </c>
      <c r="D20" s="7"/>
      <c r="E20" s="7"/>
      <c r="F20" s="7"/>
      <c r="G20" s="7">
        <v>47</v>
      </c>
      <c r="H20" s="7">
        <v>21</v>
      </c>
      <c r="I20" s="7">
        <v>2</v>
      </c>
      <c r="J20" s="7">
        <v>3</v>
      </c>
      <c r="K20" s="7"/>
      <c r="L20" s="7"/>
      <c r="M20" s="7"/>
      <c r="N20" s="7">
        <v>4</v>
      </c>
      <c r="O20" s="7"/>
      <c r="P20" s="7"/>
      <c r="Q20" s="7"/>
      <c r="R20">
        <f t="shared" si="0"/>
        <v>79</v>
      </c>
    </row>
    <row r="21" spans="1:17" ht="12.75">
      <c r="A21" s="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3" spans="1:17" ht="22.5">
      <c r="A23" s="10" t="s">
        <v>76</v>
      </c>
      <c r="B23" s="8" t="s">
        <v>75</v>
      </c>
      <c r="C23" s="18" t="s">
        <v>107</v>
      </c>
      <c r="D23" s="18" t="s">
        <v>108</v>
      </c>
      <c r="E23" s="18" t="s">
        <v>109</v>
      </c>
      <c r="F23" s="18" t="s">
        <v>110</v>
      </c>
      <c r="G23" s="18" t="s">
        <v>111</v>
      </c>
      <c r="H23" s="18" t="s">
        <v>112</v>
      </c>
      <c r="I23" s="18" t="s">
        <v>113</v>
      </c>
      <c r="J23" s="18" t="s">
        <v>114</v>
      </c>
      <c r="K23" s="18" t="s">
        <v>115</v>
      </c>
      <c r="L23" s="18" t="s">
        <v>116</v>
      </c>
      <c r="M23" s="18" t="s">
        <v>117</v>
      </c>
      <c r="N23" s="18"/>
      <c r="O23" s="8"/>
      <c r="P23" s="8"/>
      <c r="Q23" s="8"/>
    </row>
    <row r="24" spans="1:18" ht="12.75">
      <c r="A24" s="4" t="s">
        <v>206</v>
      </c>
      <c r="B24" s="7" t="s">
        <v>1</v>
      </c>
      <c r="C24" s="7"/>
      <c r="D24" s="7"/>
      <c r="E24" s="7"/>
      <c r="F24" s="7">
        <v>237</v>
      </c>
      <c r="G24" s="7"/>
      <c r="H24" s="7"/>
      <c r="I24" s="7">
        <v>665.5</v>
      </c>
      <c r="J24" s="7">
        <v>545</v>
      </c>
      <c r="K24" s="7">
        <v>700</v>
      </c>
      <c r="L24" s="7">
        <v>509</v>
      </c>
      <c r="M24" s="7"/>
      <c r="N24" s="7"/>
      <c r="O24" s="7"/>
      <c r="P24" s="7"/>
      <c r="Q24" s="7"/>
      <c r="R24">
        <f aca="true" t="shared" si="1" ref="R24:R40">SUM(C24:Q24)</f>
        <v>2656.5</v>
      </c>
    </row>
    <row r="25" spans="1:18" ht="12.75">
      <c r="A25" s="6" t="s">
        <v>92</v>
      </c>
      <c r="B25" s="7" t="s">
        <v>2</v>
      </c>
      <c r="C25" s="7"/>
      <c r="D25" s="7"/>
      <c r="E25" s="12"/>
      <c r="F25" s="7">
        <v>1234</v>
      </c>
      <c r="G25" s="12"/>
      <c r="H25" s="12"/>
      <c r="I25" s="7">
        <v>5304.6</v>
      </c>
      <c r="J25" s="7">
        <v>5404.3</v>
      </c>
      <c r="K25" s="12">
        <v>1434.3</v>
      </c>
      <c r="L25" s="14">
        <f>2036-156</f>
        <v>1880</v>
      </c>
      <c r="M25" s="7"/>
      <c r="N25" s="7"/>
      <c r="O25" s="7"/>
      <c r="P25" s="7"/>
      <c r="Q25" s="7"/>
      <c r="R25">
        <f t="shared" si="1"/>
        <v>15257.2</v>
      </c>
    </row>
    <row r="26" spans="1:18" ht="12.75">
      <c r="A26" s="6" t="s">
        <v>104</v>
      </c>
      <c r="B26" s="7" t="s">
        <v>2</v>
      </c>
      <c r="C26" s="7"/>
      <c r="D26" s="7"/>
      <c r="E26" s="12"/>
      <c r="F26" s="7">
        <v>1669</v>
      </c>
      <c r="G26" s="14"/>
      <c r="H26" s="7"/>
      <c r="I26" s="7"/>
      <c r="J26" s="7"/>
      <c r="K26" s="7"/>
      <c r="L26" s="7"/>
      <c r="M26" s="7"/>
      <c r="N26" s="7"/>
      <c r="O26" s="7"/>
      <c r="P26" s="7"/>
      <c r="Q26" s="7"/>
      <c r="R26">
        <f t="shared" si="1"/>
        <v>1669</v>
      </c>
    </row>
    <row r="27" spans="1:18" ht="12.75">
      <c r="A27" s="4" t="s">
        <v>93</v>
      </c>
      <c r="B27" s="7" t="s">
        <v>2</v>
      </c>
      <c r="C27" s="7"/>
      <c r="D27" s="7"/>
      <c r="E27" s="7"/>
      <c r="F27" s="7"/>
      <c r="G27" s="7"/>
      <c r="H27" s="7"/>
      <c r="I27" s="7"/>
      <c r="J27" s="7"/>
      <c r="K27" s="7"/>
      <c r="L27" s="7">
        <v>156</v>
      </c>
      <c r="M27" s="7"/>
      <c r="N27" s="7"/>
      <c r="O27" s="7"/>
      <c r="P27" s="7"/>
      <c r="Q27" s="7"/>
      <c r="R27">
        <f t="shared" si="1"/>
        <v>156</v>
      </c>
    </row>
    <row r="28" spans="1:18" ht="12.75">
      <c r="A28" s="4" t="s">
        <v>102</v>
      </c>
      <c r="B28" s="7" t="s">
        <v>2</v>
      </c>
      <c r="C28" s="7"/>
      <c r="D28" s="7"/>
      <c r="E28" s="7">
        <v>61.2</v>
      </c>
      <c r="F28" s="7"/>
      <c r="G28" s="7">
        <v>442.4</v>
      </c>
      <c r="H28" s="7">
        <v>399</v>
      </c>
      <c r="I28" s="7"/>
      <c r="J28" s="7">
        <v>624.1</v>
      </c>
      <c r="K28" s="7">
        <v>39</v>
      </c>
      <c r="L28" s="7">
        <v>361</v>
      </c>
      <c r="M28" s="7"/>
      <c r="N28" s="7"/>
      <c r="O28" s="7"/>
      <c r="P28" s="7"/>
      <c r="Q28" s="7"/>
      <c r="R28">
        <f t="shared" si="1"/>
        <v>1926.6999999999998</v>
      </c>
    </row>
    <row r="29" spans="1:18" ht="12.75">
      <c r="A29" s="4" t="s">
        <v>119</v>
      </c>
      <c r="B29" s="7" t="s">
        <v>2</v>
      </c>
      <c r="C29" s="7"/>
      <c r="D29" s="7"/>
      <c r="E29" s="7"/>
      <c r="F29" s="7"/>
      <c r="G29" s="7">
        <v>6131.9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>
        <f t="shared" si="1"/>
        <v>6131.9</v>
      </c>
    </row>
    <row r="30" spans="1:18" ht="12.75">
      <c r="A30" s="4" t="s">
        <v>242</v>
      </c>
      <c r="B30" s="7" t="s">
        <v>2</v>
      </c>
      <c r="C30" s="7"/>
      <c r="D30" s="7"/>
      <c r="E30" s="7"/>
      <c r="F30" s="7">
        <v>3465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>
        <f t="shared" si="1"/>
        <v>3465</v>
      </c>
    </row>
    <row r="31" spans="1:18" ht="12.75">
      <c r="A31" s="4" t="s">
        <v>94</v>
      </c>
      <c r="B31" s="7" t="s">
        <v>2</v>
      </c>
      <c r="C31" s="7">
        <v>1438</v>
      </c>
      <c r="D31" s="7">
        <v>1199</v>
      </c>
      <c r="E31" s="7">
        <v>957</v>
      </c>
      <c r="F31" s="7">
        <v>7344</v>
      </c>
      <c r="G31" s="7"/>
      <c r="H31" s="14">
        <v>16222</v>
      </c>
      <c r="I31" s="7">
        <v>6584</v>
      </c>
      <c r="J31" s="7">
        <v>1262.5</v>
      </c>
      <c r="K31" s="7">
        <v>5765</v>
      </c>
      <c r="L31" s="7">
        <v>2839.6</v>
      </c>
      <c r="M31" s="7">
        <v>7616.8</v>
      </c>
      <c r="N31" s="7"/>
      <c r="O31" s="7"/>
      <c r="P31" s="7"/>
      <c r="Q31" s="7"/>
      <c r="R31">
        <f t="shared" si="1"/>
        <v>51227.9</v>
      </c>
    </row>
    <row r="32" spans="1:18" ht="12.75">
      <c r="A32" s="4" t="s">
        <v>97</v>
      </c>
      <c r="B32" s="7" t="s">
        <v>2</v>
      </c>
      <c r="C32" s="7"/>
      <c r="D32" s="7"/>
      <c r="E32" s="7"/>
      <c r="F32" s="7"/>
      <c r="G32" s="13"/>
      <c r="H32" s="7"/>
      <c r="I32" s="7">
        <v>1701.87</v>
      </c>
      <c r="J32" s="7"/>
      <c r="K32" s="7">
        <v>1603.6</v>
      </c>
      <c r="L32" s="7">
        <v>83</v>
      </c>
      <c r="M32" s="7">
        <v>5443</v>
      </c>
      <c r="N32" s="7"/>
      <c r="O32" s="7"/>
      <c r="P32" s="7"/>
      <c r="Q32" s="7"/>
      <c r="R32">
        <f t="shared" si="1"/>
        <v>8831.47</v>
      </c>
    </row>
    <row r="33" spans="1:19" ht="12.75">
      <c r="A33" s="6" t="s">
        <v>95</v>
      </c>
      <c r="B33" s="7" t="s">
        <v>2</v>
      </c>
      <c r="C33" s="7">
        <v>15397</v>
      </c>
      <c r="D33" s="7">
        <v>45301</v>
      </c>
      <c r="E33" s="12">
        <v>8923.6</v>
      </c>
      <c r="F33" s="7">
        <v>19358</v>
      </c>
      <c r="G33" s="14">
        <v>9487</v>
      </c>
      <c r="H33" s="14">
        <v>67105</v>
      </c>
      <c r="I33" s="7">
        <v>17119.1</v>
      </c>
      <c r="J33" s="7">
        <v>8089.8</v>
      </c>
      <c r="K33" s="12">
        <v>6874.4</v>
      </c>
      <c r="L33" s="12">
        <v>8890.6</v>
      </c>
      <c r="M33" s="12">
        <v>41590.5</v>
      </c>
      <c r="N33" s="7"/>
      <c r="O33" s="7"/>
      <c r="P33" s="7"/>
      <c r="Q33" s="7"/>
      <c r="R33">
        <f t="shared" si="1"/>
        <v>248136</v>
      </c>
      <c r="S33">
        <f>SUM(C33:R33)</f>
        <v>496272</v>
      </c>
    </row>
    <row r="34" spans="1:19" ht="12.75">
      <c r="A34" s="6" t="s">
        <v>98</v>
      </c>
      <c r="B34" s="7" t="s">
        <v>2</v>
      </c>
      <c r="C34" s="7"/>
      <c r="D34" s="7"/>
      <c r="E34" s="7"/>
      <c r="F34" s="7"/>
      <c r="G34" s="13"/>
      <c r="H34" s="7"/>
      <c r="I34" s="7">
        <v>566.57</v>
      </c>
      <c r="J34" s="13">
        <v>3219.48</v>
      </c>
      <c r="K34" s="13">
        <v>6595.02</v>
      </c>
      <c r="L34" s="7">
        <v>1284.9</v>
      </c>
      <c r="M34" s="7"/>
      <c r="N34" s="7"/>
      <c r="O34" s="7"/>
      <c r="P34" s="7"/>
      <c r="Q34" s="7"/>
      <c r="R34">
        <f t="shared" si="1"/>
        <v>11665.97</v>
      </c>
      <c r="S34">
        <f>SUM(C34:R34)</f>
        <v>23331.94</v>
      </c>
    </row>
    <row r="35" spans="1:18" ht="12.75" customHeight="1">
      <c r="A35" s="11" t="s">
        <v>120</v>
      </c>
      <c r="B35" s="7" t="s">
        <v>2</v>
      </c>
      <c r="C35" s="7"/>
      <c r="D35" s="7"/>
      <c r="E35" s="7"/>
      <c r="F35" s="7"/>
      <c r="G35" s="7"/>
      <c r="H35" s="7"/>
      <c r="I35" s="7"/>
      <c r="J35" s="7"/>
      <c r="K35" s="7">
        <v>74.2</v>
      </c>
      <c r="L35" s="7"/>
      <c r="M35" s="7"/>
      <c r="N35" s="7"/>
      <c r="O35" s="7"/>
      <c r="P35" s="7"/>
      <c r="Q35" s="7"/>
      <c r="R35">
        <f t="shared" si="1"/>
        <v>74.2</v>
      </c>
    </row>
    <row r="36" spans="1:18" ht="12.75">
      <c r="A36" s="11" t="s">
        <v>118</v>
      </c>
      <c r="B36" s="7" t="s">
        <v>2</v>
      </c>
      <c r="C36" s="7"/>
      <c r="D36" s="7"/>
      <c r="E36" s="7">
        <v>746.2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>
        <f t="shared" si="1"/>
        <v>746.2</v>
      </c>
    </row>
    <row r="37" spans="1:18" ht="12.75">
      <c r="A37" s="11" t="s">
        <v>99</v>
      </c>
      <c r="B37" s="7" t="s">
        <v>2</v>
      </c>
      <c r="C37" s="7">
        <v>186</v>
      </c>
      <c r="D37" s="7"/>
      <c r="E37" s="7"/>
      <c r="F37" s="7"/>
      <c r="G37" s="7"/>
      <c r="H37" s="7">
        <v>595</v>
      </c>
      <c r="I37" s="7"/>
      <c r="J37" s="7"/>
      <c r="K37" s="7"/>
      <c r="L37" s="7">
        <v>80</v>
      </c>
      <c r="M37" s="7"/>
      <c r="N37" s="7"/>
      <c r="O37" s="7"/>
      <c r="P37" s="7"/>
      <c r="Q37" s="7"/>
      <c r="R37">
        <f t="shared" si="1"/>
        <v>861</v>
      </c>
    </row>
    <row r="38" spans="1:18" ht="12.75">
      <c r="A38" s="11" t="s">
        <v>100</v>
      </c>
      <c r="B38" s="7" t="s">
        <v>2</v>
      </c>
      <c r="C38" s="7"/>
      <c r="D38" s="7">
        <v>76</v>
      </c>
      <c r="E38" s="7"/>
      <c r="F38" s="7"/>
      <c r="G38" s="7"/>
      <c r="H38" s="7">
        <v>1129</v>
      </c>
      <c r="I38" s="7">
        <v>896</v>
      </c>
      <c r="J38" s="7">
        <v>655</v>
      </c>
      <c r="K38" s="7">
        <v>358</v>
      </c>
      <c r="L38" s="7">
        <v>57</v>
      </c>
      <c r="M38" s="7">
        <v>601</v>
      </c>
      <c r="N38" s="7"/>
      <c r="O38" s="7"/>
      <c r="P38" s="7"/>
      <c r="Q38" s="7"/>
      <c r="R38">
        <f t="shared" si="1"/>
        <v>3772</v>
      </c>
    </row>
    <row r="39" spans="1:18" ht="12.75">
      <c r="A39" s="11" t="s">
        <v>232</v>
      </c>
      <c r="B39" s="7" t="s">
        <v>11</v>
      </c>
      <c r="C39" s="7">
        <v>11</v>
      </c>
      <c r="D39" s="7">
        <v>6</v>
      </c>
      <c r="E39" s="7"/>
      <c r="F39" s="7">
        <v>15</v>
      </c>
      <c r="G39" s="7">
        <v>15</v>
      </c>
      <c r="H39" s="7">
        <v>13</v>
      </c>
      <c r="I39" s="7">
        <v>10</v>
      </c>
      <c r="J39" s="7">
        <v>2</v>
      </c>
      <c r="K39" s="7">
        <v>4</v>
      </c>
      <c r="L39" s="7">
        <v>6</v>
      </c>
      <c r="M39" s="7">
        <v>33</v>
      </c>
      <c r="N39" s="7"/>
      <c r="O39" s="7"/>
      <c r="P39" s="7"/>
      <c r="Q39" s="7"/>
      <c r="R39">
        <f t="shared" si="1"/>
        <v>115</v>
      </c>
    </row>
    <row r="40" spans="1:19" ht="12.75">
      <c r="A40" s="5" t="s">
        <v>103</v>
      </c>
      <c r="B40" s="7" t="s">
        <v>11</v>
      </c>
      <c r="C40" s="7">
        <v>18</v>
      </c>
      <c r="D40" s="7">
        <v>16</v>
      </c>
      <c r="E40" s="7">
        <v>7</v>
      </c>
      <c r="F40" s="7">
        <v>22</v>
      </c>
      <c r="G40" s="7">
        <v>5</v>
      </c>
      <c r="H40" s="7">
        <v>31</v>
      </c>
      <c r="I40" s="7">
        <v>20</v>
      </c>
      <c r="J40" s="7"/>
      <c r="K40" s="7">
        <v>13</v>
      </c>
      <c r="L40" s="7">
        <v>9</v>
      </c>
      <c r="M40" s="7">
        <v>82</v>
      </c>
      <c r="N40" s="7"/>
      <c r="O40" s="7"/>
      <c r="P40" s="7"/>
      <c r="Q40" s="7"/>
      <c r="R40">
        <f t="shared" si="1"/>
        <v>223</v>
      </c>
      <c r="S40">
        <f>SUM(S11:S39)</f>
        <v>1064371.06</v>
      </c>
    </row>
    <row r="42" ht="12.75">
      <c r="A42" s="15"/>
    </row>
  </sheetData>
  <sheetProtection/>
  <printOptions/>
  <pageMargins left="0.3937007874015748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User5</cp:lastModifiedBy>
  <cp:lastPrinted>2022-06-24T08:46:56Z</cp:lastPrinted>
  <dcterms:created xsi:type="dcterms:W3CDTF">2004-10-19T12:32:26Z</dcterms:created>
  <dcterms:modified xsi:type="dcterms:W3CDTF">2022-06-27T06:10:54Z</dcterms:modified>
  <cp:category/>
  <cp:version/>
  <cp:contentType/>
  <cp:contentStatus/>
</cp:coreProperties>
</file>